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heckCompatibility="1" autoCompressPictures="0"/>
  <bookViews>
    <workbookView xWindow="0" yWindow="0" windowWidth="14080" windowHeight="17560" tabRatio="866" firstSheet="2" activeTab="9"/>
  </bookViews>
  <sheets>
    <sheet name="ArrKom" sheetId="5" r:id="rId1"/>
    <sheet name="BanKom" sheetId="3" r:id="rId2"/>
    <sheet name="BedKom" sheetId="8" r:id="rId3"/>
    <sheet name="DotKom" sheetId="4" r:id="rId4"/>
    <sheet name="FagKom" sheetId="6" r:id="rId5"/>
    <sheet name="HS" sheetId="1" r:id="rId6"/>
    <sheet name="ProKom" sheetId="10" r:id="rId7"/>
    <sheet name="TriKom" sheetId="9" r:id="rId8"/>
    <sheet name="VelKom" sheetId="7" r:id="rId9"/>
    <sheet name="Total" sheetId="2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5" i="7" l="1"/>
  <c r="D23" i="2"/>
  <c r="F23" i="9"/>
  <c r="D22" i="2"/>
  <c r="G21" i="10"/>
  <c r="G29" i="10"/>
  <c r="D21" i="2"/>
  <c r="G19" i="1"/>
  <c r="G41" i="1"/>
  <c r="D20" i="2"/>
  <c r="G29" i="6"/>
  <c r="D19" i="2"/>
  <c r="G17" i="4"/>
  <c r="D18" i="2"/>
  <c r="G22" i="8"/>
  <c r="G29" i="8"/>
  <c r="D17" i="2"/>
  <c r="F10" i="3"/>
  <c r="D16" i="2"/>
  <c r="E5" i="3"/>
  <c r="E6" i="3"/>
  <c r="E8" i="3"/>
  <c r="E9" i="3"/>
  <c r="E10" i="3"/>
  <c r="C16" i="2"/>
  <c r="F53" i="5"/>
  <c r="D15" i="2"/>
  <c r="F9" i="7"/>
  <c r="D11" i="2"/>
  <c r="F8" i="9"/>
  <c r="D10" i="2"/>
  <c r="G14" i="10"/>
  <c r="D9" i="2"/>
  <c r="G11" i="1"/>
  <c r="D8" i="2"/>
  <c r="G13" i="6"/>
  <c r="D7" i="2"/>
  <c r="G8" i="4"/>
  <c r="D6" i="2"/>
  <c r="G12" i="8"/>
  <c r="D5" i="2"/>
  <c r="F22" i="5"/>
  <c r="D3" i="2"/>
  <c r="F27" i="7"/>
  <c r="G31" i="6"/>
  <c r="G31" i="8"/>
  <c r="F25" i="9"/>
  <c r="E23" i="9"/>
  <c r="E25" i="9"/>
  <c r="F19" i="1"/>
  <c r="E6" i="5"/>
  <c r="E19" i="5"/>
  <c r="E22" i="5"/>
  <c r="C3" i="2"/>
  <c r="C5" i="2"/>
  <c r="F8" i="4"/>
  <c r="C6" i="2"/>
  <c r="C7" i="2"/>
  <c r="F5" i="1"/>
  <c r="F8" i="1"/>
  <c r="F11" i="1"/>
  <c r="C8" i="2"/>
  <c r="F8" i="10"/>
  <c r="F14" i="10"/>
  <c r="C9" i="2"/>
  <c r="C10" i="2"/>
  <c r="C11" i="2"/>
  <c r="C12" i="2"/>
  <c r="F21" i="10"/>
  <c r="E21" i="10"/>
  <c r="F23" i="10"/>
  <c r="F24" i="10"/>
  <c r="F25" i="10"/>
  <c r="F29" i="10"/>
  <c r="C21" i="2"/>
  <c r="G31" i="10"/>
  <c r="F31" i="10"/>
  <c r="E14" i="10"/>
  <c r="E29" i="10"/>
  <c r="E31" i="10"/>
  <c r="D14" i="10"/>
  <c r="D29" i="10"/>
  <c r="D31" i="10"/>
  <c r="C14" i="10"/>
  <c r="C29" i="10"/>
  <c r="C31" i="10"/>
  <c r="C22" i="2"/>
  <c r="D24" i="2"/>
  <c r="D12" i="2"/>
  <c r="F21" i="2"/>
  <c r="F9" i="2"/>
  <c r="C17" i="2"/>
  <c r="C23" i="2"/>
  <c r="E46" i="5"/>
  <c r="E50" i="5"/>
  <c r="E53" i="5"/>
  <c r="C15" i="2"/>
  <c r="C19" i="2"/>
  <c r="F55" i="5"/>
  <c r="E55" i="5"/>
  <c r="D22" i="5"/>
  <c r="D53" i="5"/>
  <c r="D55" i="5"/>
  <c r="C22" i="5"/>
  <c r="C53" i="5"/>
  <c r="C55" i="5"/>
  <c r="B22" i="5"/>
  <c r="B53" i="5"/>
  <c r="B55" i="5"/>
  <c r="F17" i="1"/>
  <c r="F26" i="1"/>
  <c r="F27" i="1"/>
  <c r="F28" i="1"/>
  <c r="F29" i="1"/>
  <c r="F33" i="1"/>
  <c r="F34" i="1"/>
  <c r="F36" i="1"/>
  <c r="F37" i="1"/>
  <c r="F40" i="1"/>
  <c r="F41" i="1"/>
  <c r="C20" i="2"/>
  <c r="E12" i="3"/>
  <c r="F17" i="4"/>
  <c r="C18" i="2"/>
  <c r="C17" i="4"/>
  <c r="C19" i="4"/>
  <c r="D17" i="4"/>
  <c r="D19" i="4"/>
  <c r="E17" i="4"/>
  <c r="E8" i="4"/>
  <c r="E19" i="4"/>
  <c r="F19" i="4"/>
  <c r="G19" i="4"/>
  <c r="D10" i="3"/>
  <c r="C9" i="3"/>
  <c r="C10" i="3"/>
  <c r="B10" i="3"/>
  <c r="F12" i="3"/>
  <c r="D12" i="3"/>
  <c r="C12" i="3"/>
  <c r="B12" i="3"/>
  <c r="F3" i="2"/>
  <c r="F4" i="2"/>
  <c r="F5" i="2"/>
  <c r="F6" i="2"/>
  <c r="F7" i="2"/>
  <c r="F8" i="2"/>
  <c r="F10" i="2"/>
  <c r="F12" i="2"/>
  <c r="F15" i="2"/>
  <c r="F16" i="2"/>
  <c r="F17" i="2"/>
  <c r="F18" i="2"/>
  <c r="F19" i="2"/>
  <c r="F20" i="2"/>
  <c r="F22" i="2"/>
  <c r="F24" i="2"/>
  <c r="F26" i="2"/>
  <c r="D26" i="2"/>
  <c r="C24" i="2"/>
  <c r="C26" i="2"/>
  <c r="B12" i="2"/>
  <c r="B24" i="2"/>
  <c r="B26" i="2"/>
  <c r="F23" i="2"/>
  <c r="F11" i="2"/>
  <c r="G43" i="1"/>
  <c r="F43" i="1"/>
  <c r="E11" i="1"/>
  <c r="E19" i="1"/>
  <c r="E41" i="1"/>
  <c r="E43" i="1"/>
  <c r="D11" i="1"/>
  <c r="D41" i="1"/>
  <c r="D43" i="1"/>
  <c r="C11" i="1"/>
  <c r="C41" i="1"/>
  <c r="C43" i="1"/>
</calcChain>
</file>

<file path=xl/sharedStrings.xml><?xml version="1.0" encoding="utf-8"?>
<sst xmlns="http://schemas.openxmlformats.org/spreadsheetml/2006/main" count="359" uniqueCount="206">
  <si>
    <t>Budsjett og regnskap for Hovedstyret</t>
  </si>
  <si>
    <t>Nota</t>
  </si>
  <si>
    <t>Budsjett
2011/2012</t>
  </si>
  <si>
    <t>Regnskap
2011</t>
  </si>
  <si>
    <t>Budsjett
2012/2013</t>
  </si>
  <si>
    <t>Regnskap
2012</t>
  </si>
  <si>
    <t>Budsjett
2013/2014</t>
  </si>
  <si>
    <t>Inntekter</t>
  </si>
  <si>
    <t>Renter</t>
  </si>
  <si>
    <t>Åretur</t>
  </si>
  <si>
    <t>Internoverføringer</t>
  </si>
  <si>
    <t>Egenandeler representasjon</t>
  </si>
  <si>
    <t xml:space="preserve">Salg av komiteedaljer </t>
  </si>
  <si>
    <t xml:space="preserve">Salg av medlemspinn </t>
  </si>
  <si>
    <t>Sum</t>
  </si>
  <si>
    <t>Utgifter</t>
  </si>
  <si>
    <t>Kjøp av Æresdalje</t>
  </si>
  <si>
    <t>Kjøp av komiteedaljer</t>
  </si>
  <si>
    <t>Kjøp av medlemspinn</t>
  </si>
  <si>
    <t>Andre/uforutsette utgifter</t>
  </si>
  <si>
    <t>Internoverføring</t>
  </si>
  <si>
    <t>Arrangementer</t>
  </si>
  <si>
    <t>Nye prosjekter</t>
  </si>
  <si>
    <t>Jubileet</t>
  </si>
  <si>
    <t>Bankgebyrer</t>
  </si>
  <si>
    <t>Bespisning</t>
  </si>
  <si>
    <t>Bekledning</t>
  </si>
  <si>
    <t>Bodleie SiT</t>
  </si>
  <si>
    <t>Gaver</t>
  </si>
  <si>
    <t>Representasjon</t>
  </si>
  <si>
    <t>Støtte til andre</t>
  </si>
  <si>
    <t>Støtte til komiteer</t>
  </si>
  <si>
    <t>Støtte til Datakameratene</t>
  </si>
  <si>
    <t>Støtte til pangKom</t>
  </si>
  <si>
    <t>Teambuilding</t>
  </si>
  <si>
    <t>Transport</t>
  </si>
  <si>
    <t>Trykksaker</t>
  </si>
  <si>
    <t>Utstyrkjøp</t>
  </si>
  <si>
    <t>Rekvisitta</t>
  </si>
  <si>
    <t>Sparing til jubileum</t>
  </si>
  <si>
    <t>Utmatrikulering</t>
  </si>
  <si>
    <t>MVA til skatteetaten</t>
  </si>
  <si>
    <t>Resultat</t>
  </si>
  <si>
    <t>Nota 1:</t>
  </si>
  <si>
    <t>Nota 2:</t>
  </si>
  <si>
    <t>Nota 3:</t>
  </si>
  <si>
    <t>Nota 4:</t>
  </si>
  <si>
    <t>Nota 5:</t>
  </si>
  <si>
    <t>Nota 6:</t>
  </si>
  <si>
    <t>Budsjett 12/13</t>
  </si>
  <si>
    <t>Regnskap 2012</t>
  </si>
  <si>
    <t>Budsjett 13/14</t>
  </si>
  <si>
    <t>Budsjettendringer</t>
  </si>
  <si>
    <t>arrKom</t>
  </si>
  <si>
    <t>banKom</t>
  </si>
  <si>
    <t>bedKom</t>
  </si>
  <si>
    <t>dotKom</t>
  </si>
  <si>
    <t>fagKom</t>
  </si>
  <si>
    <t>Hovedstyret</t>
  </si>
  <si>
    <t>proKom</t>
  </si>
  <si>
    <t>triKom</t>
  </si>
  <si>
    <t>velKom</t>
  </si>
  <si>
    <t>Budsjett 11/12</t>
  </si>
  <si>
    <t>Regnskap 2011</t>
  </si>
  <si>
    <t>Rekvisita</t>
  </si>
  <si>
    <t>Pizza på arbeidskveld</t>
  </si>
  <si>
    <t>Budsjett og regnskap for dotKom</t>
  </si>
  <si>
    <t>Budsjett</t>
  </si>
  <si>
    <t>2010/2011</t>
  </si>
  <si>
    <t>Regnskap</t>
  </si>
  <si>
    <t>2011/2012</t>
  </si>
  <si>
    <t>Pizzakonto inn</t>
  </si>
  <si>
    <t>Pizzakonto ut</t>
  </si>
  <si>
    <t>Outsourcing</t>
  </si>
  <si>
    <t>Ekspandering</t>
  </si>
  <si>
    <t>Blåtur</t>
  </si>
  <si>
    <t>Immball</t>
  </si>
  <si>
    <t>Julebord</t>
  </si>
  <si>
    <t>Juleverksted</t>
  </si>
  <si>
    <t>Jubileum</t>
  </si>
  <si>
    <t>OnLAN</t>
  </si>
  <si>
    <t>Utenlandstur</t>
  </si>
  <si>
    <t>Curling</t>
  </si>
  <si>
    <t>Lazer-tag</t>
  </si>
  <si>
    <t>17. Mai middag</t>
  </si>
  <si>
    <t>Tur til studenterhytta</t>
  </si>
  <si>
    <t>Vinter-OL</t>
  </si>
  <si>
    <t>Pirbadet</t>
  </si>
  <si>
    <t>Ølsmaking</t>
  </si>
  <si>
    <t>Andre/uforutsette inntekter</t>
  </si>
  <si>
    <t>Nye arrangementer</t>
  </si>
  <si>
    <t>17. Mai frokost</t>
  </si>
  <si>
    <t>Tur til Studenterhytta</t>
  </si>
  <si>
    <t>X-fest</t>
  </si>
  <si>
    <t>Efter-Åre fest</t>
  </si>
  <si>
    <t>Karneval</t>
  </si>
  <si>
    <t>Studielånspils</t>
  </si>
  <si>
    <t>Godtgjørelse til arrangør</t>
  </si>
  <si>
    <t>Regnskap 11</t>
  </si>
  <si>
    <t>Regnskap 12</t>
  </si>
  <si>
    <t>2700 Merverdiavgift</t>
  </si>
  <si>
    <t>3400 Administrasjonsgebyr kurs</t>
  </si>
  <si>
    <t>3410 Innbetaling bespisning kurs</t>
  </si>
  <si>
    <t>3900 Annen/uforutsett inntekt</t>
  </si>
  <si>
    <t>3990 Renter</t>
  </si>
  <si>
    <t>6610 Bespisning kurs</t>
  </si>
  <si>
    <t>4300 Utstyrskjøp</t>
  </si>
  <si>
    <t>4400 Rekvisita</t>
  </si>
  <si>
    <t>4500 Trykksaker</t>
  </si>
  <si>
    <t>4600 Gaver til kursholdere</t>
  </si>
  <si>
    <t>4700 Bekledning</t>
  </si>
  <si>
    <t>4800 Teambuilding</t>
  </si>
  <si>
    <t>6600 Bespisning</t>
  </si>
  <si>
    <t>6700 Transport</t>
  </si>
  <si>
    <t>7900 Andre/uforutsette utgifter</t>
  </si>
  <si>
    <t>3500 Administrasjonsgebyr bedpres</t>
  </si>
  <si>
    <t>Oslotur til bedrifter</t>
  </si>
  <si>
    <t>Budsjett 11</t>
  </si>
  <si>
    <t>Budsjett 12</t>
  </si>
  <si>
    <t>Budsjett 13</t>
  </si>
  <si>
    <t>3200 Støtte</t>
  </si>
  <si>
    <t>3300 Sponsor</t>
  </si>
  <si>
    <t>3510 Innbetaling bedpres bespisning</t>
  </si>
  <si>
    <t>4610 Premier</t>
  </si>
  <si>
    <t>6000 Arrangementer</t>
  </si>
  <si>
    <t>6040 Immball</t>
  </si>
  <si>
    <t>Leie av utstyr</t>
  </si>
  <si>
    <t>Opptak</t>
  </si>
  <si>
    <t>Budsjett 2012/2013</t>
  </si>
  <si>
    <t>Budsjett 2013/2014</t>
  </si>
  <si>
    <t>Annonser</t>
  </si>
  <si>
    <t>Bedpres</t>
  </si>
  <si>
    <t>Bedpres bespisning</t>
  </si>
  <si>
    <t>Gebyrer</t>
  </si>
  <si>
    <t>Hovedsponsor</t>
  </si>
  <si>
    <t>Oslotur</t>
  </si>
  <si>
    <t>Plakater, bonger</t>
  </si>
  <si>
    <t>MVA</t>
  </si>
  <si>
    <t>-</t>
  </si>
  <si>
    <t>Budsjett og regnskap BedKom</t>
  </si>
  <si>
    <t xml:space="preserve">   - Annonse i Offline</t>
  </si>
  <si>
    <t xml:space="preserve">   - Gullsponsor fadderuka</t>
  </si>
  <si>
    <t xml:space="preserve">   - ITekskursjonen</t>
  </si>
  <si>
    <t xml:space="preserve">   - Kurs</t>
  </si>
  <si>
    <t>Budsjett og regnskap for Trikom</t>
  </si>
  <si>
    <t>Salgsinntekter</t>
  </si>
  <si>
    <t>17.mai frokost</t>
  </si>
  <si>
    <t>Andre arrangementer</t>
  </si>
  <si>
    <t>GenFors</t>
  </si>
  <si>
    <t>Kaffe, serveringsutstyr o.l.</t>
  </si>
  <si>
    <t>Kioskinnkjøp</t>
  </si>
  <si>
    <t>Utstyrskjøp/kontorsparing</t>
  </si>
  <si>
    <t>Vaffeldag</t>
  </si>
  <si>
    <t xml:space="preserve">      </t>
  </si>
  <si>
    <t>Budsjett og regnskap VelKom</t>
  </si>
  <si>
    <t>Budsjett og regnskap ArrKom</t>
  </si>
  <si>
    <t>Budsjett og regnskap BanKom</t>
  </si>
  <si>
    <t>Budsjett og regnskap FagKom</t>
  </si>
  <si>
    <t>Budsjett og regnskap for proKom</t>
  </si>
  <si>
    <t>Onlinegenser</t>
  </si>
  <si>
    <t>Årbok</t>
  </si>
  <si>
    <t>6)</t>
  </si>
  <si>
    <t>Åregensere</t>
  </si>
  <si>
    <t>Abonnement</t>
  </si>
  <si>
    <t>Støtte fra SiT</t>
  </si>
  <si>
    <t>Komitédaljer</t>
  </si>
  <si>
    <t>Komitedaljer</t>
  </si>
  <si>
    <t>1)</t>
  </si>
  <si>
    <t>utstyr proKom</t>
  </si>
  <si>
    <t>5)</t>
  </si>
  <si>
    <t>3)</t>
  </si>
  <si>
    <t>4)</t>
  </si>
  <si>
    <t>Reise/Transport</t>
  </si>
  <si>
    <t>Æresdaljer</t>
  </si>
  <si>
    <t>Online-pins</t>
  </si>
  <si>
    <t>r) Prokom la ut for to samlefakturaer og fikk tilbake gjennom internoverføringer. 26775 er for Offline#3 (jublieeumsutgaven) som kom i 2011.</t>
  </si>
  <si>
    <t>Se eget excelark</t>
  </si>
  <si>
    <t>900kr fra teambuilding 2011</t>
  </si>
  <si>
    <t>Rammer og kamera</t>
  </si>
  <si>
    <t>Dette er et overslag, men et beløp som skal gå i null</t>
  </si>
  <si>
    <t>Offlineinntekter</t>
  </si>
  <si>
    <t>b) Alt overskudd vil gå til å øke opplaget</t>
  </si>
  <si>
    <t>Offline</t>
  </si>
  <si>
    <t>Prokom betalte samtlige plakater for andre komitéer på fakturanr 236615 fra proKom-kontoen</t>
  </si>
  <si>
    <t>Reboot</t>
  </si>
  <si>
    <r>
      <rPr>
        <b/>
        <sz val="10"/>
        <color theme="1"/>
        <rFont val="Arial"/>
      </rPr>
      <t>Nota 1:</t>
    </r>
    <r>
      <rPr>
        <sz val="10"/>
        <color theme="1"/>
        <rFont val="Arial"/>
      </rPr>
      <t xml:space="preserve"> Feiloverføring av bedpresgebyr, korrigert ved internoverføring.</t>
    </r>
  </si>
  <si>
    <r>
      <rPr>
        <b/>
        <sz val="10"/>
        <color theme="1"/>
        <rFont val="Arial"/>
      </rPr>
      <t>Nota 2:</t>
    </r>
    <r>
      <rPr>
        <sz val="10"/>
        <color theme="1"/>
        <rFont val="Arial"/>
      </rPr>
      <t xml:space="preserve"> Nytt av året: Oslotur for komitémedlemmer for kontakt av bedrifter er nå et samarbeid mellom bedKom og fagKom.</t>
    </r>
  </si>
  <si>
    <r>
      <rPr>
        <b/>
        <sz val="10"/>
        <color theme="1"/>
        <rFont val="Arial"/>
      </rPr>
      <t>Nota 3:</t>
    </r>
    <r>
      <rPr>
        <sz val="10"/>
        <color theme="1"/>
        <rFont val="Arial"/>
      </rPr>
      <t xml:space="preserve"> Gi en tier-prosjektet til Sparebank1</t>
    </r>
  </si>
  <si>
    <r>
      <rPr>
        <b/>
        <sz val="10"/>
        <color theme="1"/>
        <rFont val="Arial"/>
      </rPr>
      <t>Nota 4:</t>
    </r>
    <r>
      <rPr>
        <sz val="10"/>
        <color theme="1"/>
        <rFont val="Arial"/>
      </rPr>
      <t xml:space="preserve"> Ekskom Brreg registreing</t>
    </r>
  </si>
  <si>
    <t xml:space="preserve"> Minioversikt </t>
  </si>
  <si>
    <t xml:space="preserve"> Immball </t>
  </si>
  <si>
    <t xml:space="preserve"> Julebord </t>
  </si>
  <si>
    <t xml:space="preserve"> Lazer-tag </t>
  </si>
  <si>
    <t xml:space="preserve"> Åretur </t>
  </si>
  <si>
    <t xml:space="preserve"> Ølsmaking </t>
  </si>
  <si>
    <t xml:space="preserve"> Blåtur </t>
  </si>
  <si>
    <t>2013/2014</t>
  </si>
  <si>
    <r>
      <rPr>
        <b/>
        <sz val="10"/>
        <rFont val="Arial"/>
        <family val="2"/>
      </rPr>
      <t>Julebord:</t>
    </r>
    <r>
      <rPr>
        <sz val="10"/>
        <rFont val="Arial"/>
        <family val="2"/>
      </rPr>
      <t xml:space="preserve"> 125,- pr hode (80 stk)</t>
    </r>
  </si>
  <si>
    <t>Hovedsponsoravtale:</t>
  </si>
  <si>
    <r>
      <rPr>
        <b/>
        <sz val="10"/>
        <rFont val="Calibri"/>
        <family val="2"/>
        <charset val="1"/>
        <scheme val="minor"/>
      </rPr>
      <t>Nota 1:</t>
    </r>
    <r>
      <rPr>
        <sz val="10"/>
        <rFont val="Calibri"/>
        <family val="2"/>
        <charset val="1"/>
        <scheme val="minor"/>
      </rPr>
      <t xml:space="preserve"> Flyttet til banKom-budsjett fra 13/14</t>
    </r>
  </si>
  <si>
    <r>
      <rPr>
        <b/>
        <sz val="10"/>
        <color theme="1"/>
        <rFont val="Calibri"/>
        <scheme val="minor"/>
      </rPr>
      <t>Nota 2:</t>
    </r>
    <r>
      <rPr>
        <sz val="10"/>
        <color theme="1"/>
        <rFont val="Calibri"/>
        <scheme val="minor"/>
      </rPr>
      <t xml:space="preserve"> Leie økt fra 155 -&gt; 300 + Innlåsing i bod pga. mistet nøkkel</t>
    </r>
  </si>
  <si>
    <r>
      <rPr>
        <b/>
        <sz val="10"/>
        <color theme="1"/>
        <rFont val="Calibri"/>
        <scheme val="minor"/>
      </rPr>
      <t xml:space="preserve">Nota 3: </t>
    </r>
    <r>
      <rPr>
        <sz val="10"/>
        <color theme="1"/>
        <rFont val="Calibri"/>
        <scheme val="minor"/>
      </rPr>
      <t>Økt deltakelse på immball, disse pengene har kommet inn i 2013</t>
    </r>
  </si>
  <si>
    <r>
      <t xml:space="preserve">Nota 4: </t>
    </r>
    <r>
      <rPr>
        <sz val="10"/>
        <color theme="1"/>
        <rFont val="Calibri"/>
        <scheme val="minor"/>
      </rPr>
      <t>Dette inkluderer representasjonsgaver og andre gaver</t>
    </r>
  </si>
  <si>
    <r>
      <rPr>
        <b/>
        <sz val="10"/>
        <color theme="1"/>
        <rFont val="Calibri"/>
        <scheme val="minor"/>
      </rPr>
      <t xml:space="preserve">Nota 5: </t>
    </r>
    <r>
      <rPr>
        <sz val="10"/>
        <color theme="1"/>
        <rFont val="Calibri"/>
        <scheme val="minor"/>
      </rPr>
      <t>Kompilering og styrevors</t>
    </r>
  </si>
  <si>
    <r>
      <rPr>
        <b/>
        <sz val="10"/>
        <color theme="1"/>
        <rFont val="Calibri"/>
        <scheme val="minor"/>
      </rPr>
      <t xml:space="preserve">Nota 6: </t>
    </r>
    <r>
      <rPr>
        <sz val="10"/>
        <color theme="1"/>
        <rFont val="Calibri"/>
        <scheme val="minor"/>
      </rPr>
      <t>Realfagskjelleren, StartIT, Badekarpadling</t>
    </r>
  </si>
  <si>
    <r>
      <t xml:space="preserve">Nota 7: </t>
    </r>
    <r>
      <rPr>
        <sz val="10"/>
        <color theme="1"/>
        <rFont val="Calibri"/>
        <scheme val="minor"/>
      </rPr>
      <t>Materialer til fane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</si>
</sst>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[$kr-414]\ #,##0.00;[Red]\-[$kr-414]\ #,##0.00"/>
    <numFmt numFmtId="165" formatCode="#,##0.00_ ;[Red]\-#,##0.00\ "/>
    <numFmt numFmtId="166" formatCode="_-* #,##0.00_-;\-* #,##0.00_-;_-* \-??_-;_-@_-"/>
  </numFmts>
  <fonts count="4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Arial"/>
      <family val="2"/>
    </font>
    <font>
      <b/>
      <sz val="11"/>
      <color rgb="FF006100"/>
      <name val="Calibri"/>
      <family val="2"/>
      <scheme val="minor"/>
    </font>
    <font>
      <b/>
      <sz val="11"/>
      <color rgb="FF9C650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rgb="FF000000"/>
      <name val="Calibri"/>
      <scheme val="minor"/>
    </font>
    <font>
      <b/>
      <sz val="13.5"/>
      <color theme="1"/>
      <name val="Calibri"/>
      <scheme val="minor"/>
    </font>
    <font>
      <b/>
      <sz val="10"/>
      <color theme="1"/>
      <name val="Arial"/>
    </font>
    <font>
      <b/>
      <sz val="10"/>
      <color rgb="FF006100"/>
      <name val="Calibri"/>
      <scheme val="minor"/>
    </font>
    <font>
      <b/>
      <sz val="10"/>
      <color rgb="FF9C6500"/>
      <name val="Calibri"/>
      <scheme val="minor"/>
    </font>
    <font>
      <sz val="10"/>
      <color theme="1"/>
      <name val="Arial"/>
    </font>
    <font>
      <sz val="10"/>
      <color rgb="FF006100"/>
      <name val="Calibri"/>
      <scheme val="minor"/>
    </font>
    <font>
      <sz val="10"/>
      <color rgb="FF9C650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6100"/>
      <name val="Calibri"/>
      <scheme val="minor"/>
    </font>
    <font>
      <b/>
      <sz val="12"/>
      <color rgb="FF9C6500"/>
      <name val="Calibri"/>
      <scheme val="minor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000000"/>
      <name val="Calibri"/>
    </font>
    <font>
      <b/>
      <sz val="14"/>
      <color theme="1"/>
      <name val="Calibri"/>
      <scheme val="minor"/>
    </font>
    <font>
      <b/>
      <sz val="14"/>
      <color theme="1"/>
      <name val="Arial"/>
    </font>
    <font>
      <b/>
      <sz val="14"/>
      <name val="Arial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2"/>
      <color rgb="FFFF0000"/>
      <name val="Abadi MT Condensed Extra Bold"/>
    </font>
    <font>
      <b/>
      <sz val="10"/>
      <name val="Calibri"/>
      <family val="2"/>
      <charset val="1"/>
      <scheme val="minor"/>
    </font>
    <font>
      <sz val="10"/>
      <name val="Calibri"/>
      <family val="2"/>
      <charset val="1"/>
      <scheme val="minor"/>
    </font>
    <font>
      <sz val="8"/>
      <name val="Calibri"/>
      <family val="2"/>
      <scheme val="minor"/>
    </font>
    <font>
      <b/>
      <sz val="10"/>
      <color theme="1"/>
      <name val="Calibri"/>
      <scheme val="minor"/>
    </font>
    <font>
      <sz val="10"/>
      <color theme="1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79998168889431442"/>
        <bgColor indexed="65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</fills>
  <borders count="2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0" borderId="1" applyNumberFormat="0" applyFill="0" applyAlignment="0" applyProtection="0"/>
    <xf numFmtId="0" fontId="1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11" fillId="0" borderId="0" applyBorder="0" applyAlignment="0" applyProtection="0"/>
    <xf numFmtId="0" fontId="29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6" fillId="0" borderId="0"/>
    <xf numFmtId="0" fontId="38" fillId="8" borderId="0"/>
    <xf numFmtId="0" fontId="39" fillId="9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47">
    <xf numFmtId="0" fontId="0" fillId="0" borderId="0" xfId="0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/>
    <xf numFmtId="0" fontId="0" fillId="0" borderId="0" xfId="0" applyAlignment="1">
      <alignment horizontal="center"/>
    </xf>
    <xf numFmtId="4" fontId="3" fillId="2" borderId="4" xfId="2" applyNumberFormat="1" applyBorder="1"/>
    <xf numFmtId="4" fontId="5" fillId="4" borderId="4" xfId="4" applyNumberFormat="1" applyBorder="1" applyProtection="1"/>
    <xf numFmtId="0" fontId="0" fillId="0" borderId="0" xfId="0" applyFont="1"/>
    <xf numFmtId="0" fontId="8" fillId="0" borderId="5" xfId="0" applyFont="1" applyBorder="1"/>
    <xf numFmtId="0" fontId="0" fillId="0" borderId="6" xfId="0" applyBorder="1" applyAlignment="1">
      <alignment horizontal="center"/>
    </xf>
    <xf numFmtId="4" fontId="9" fillId="2" borderId="2" xfId="2" applyNumberFormat="1" applyFont="1" applyBorder="1"/>
    <xf numFmtId="0" fontId="8" fillId="0" borderId="0" xfId="0" applyFont="1"/>
    <xf numFmtId="4" fontId="3" fillId="2" borderId="3" xfId="2" applyNumberFormat="1" applyBorder="1"/>
    <xf numFmtId="4" fontId="5" fillId="4" borderId="3" xfId="4" applyNumberFormat="1" applyBorder="1" applyProtection="1"/>
    <xf numFmtId="4" fontId="3" fillId="2" borderId="4" xfId="2" applyNumberFormat="1" applyBorder="1" applyAlignment="1">
      <alignment horizontal="right"/>
    </xf>
    <xf numFmtId="4" fontId="5" fillId="4" borderId="4" xfId="4" applyNumberFormat="1" applyBorder="1" applyAlignment="1" applyProtection="1">
      <alignment horizontal="right"/>
    </xf>
    <xf numFmtId="4" fontId="5" fillId="4" borderId="2" xfId="4" applyNumberFormat="1" applyBorder="1"/>
    <xf numFmtId="0" fontId="6" fillId="0" borderId="0" xfId="0" applyFont="1"/>
    <xf numFmtId="0" fontId="9" fillId="2" borderId="3" xfId="2" applyFont="1" applyBorder="1" applyAlignment="1">
      <alignment horizontal="center" vertical="center"/>
    </xf>
    <xf numFmtId="0" fontId="10" fillId="4" borderId="3" xfId="4" applyFont="1" applyBorder="1" applyAlignment="1">
      <alignment horizontal="center" vertical="center"/>
    </xf>
    <xf numFmtId="0" fontId="13" fillId="5" borderId="3" xfId="6" applyFont="1" applyBorder="1" applyAlignment="1">
      <alignment horizontal="center" vertical="center"/>
    </xf>
    <xf numFmtId="0" fontId="9" fillId="2" borderId="4" xfId="2" applyFont="1" applyBorder="1" applyAlignment="1">
      <alignment horizontal="center" vertical="center"/>
    </xf>
    <xf numFmtId="0" fontId="10" fillId="4" borderId="4" xfId="4" applyFont="1" applyBorder="1" applyAlignment="1">
      <alignment horizontal="center" vertical="center"/>
    </xf>
    <xf numFmtId="0" fontId="12" fillId="5" borderId="4" xfId="6" applyFont="1" applyBorder="1" applyAlignment="1">
      <alignment horizontal="center" vertical="center"/>
    </xf>
    <xf numFmtId="0" fontId="14" fillId="0" borderId="0" xfId="0" applyFont="1"/>
    <xf numFmtId="4" fontId="5" fillId="4" borderId="4" xfId="4" applyNumberFormat="1" applyBorder="1"/>
    <xf numFmtId="4" fontId="12" fillId="5" borderId="4" xfId="6" applyNumberFormat="1" applyFont="1" applyBorder="1"/>
    <xf numFmtId="4" fontId="13" fillId="5" borderId="2" xfId="6" applyNumberFormat="1" applyFont="1" applyBorder="1"/>
    <xf numFmtId="0" fontId="6" fillId="0" borderId="1" xfId="5"/>
    <xf numFmtId="4" fontId="6" fillId="2" borderId="7" xfId="5" applyNumberFormat="1" applyFill="1" applyBorder="1"/>
    <xf numFmtId="4" fontId="6" fillId="4" borderId="7" xfId="5" applyNumberFormat="1" applyFill="1" applyBorder="1"/>
    <xf numFmtId="0" fontId="0" fillId="0" borderId="0" xfId="0" applyFill="1"/>
    <xf numFmtId="0" fontId="15" fillId="0" borderId="0" xfId="0" applyFont="1"/>
    <xf numFmtId="4" fontId="3" fillId="2" borderId="2" xfId="2" applyNumberFormat="1" applyBorder="1"/>
    <xf numFmtId="0" fontId="8" fillId="0" borderId="0" xfId="0" applyFont="1" applyBorder="1"/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left" wrapText="1"/>
    </xf>
    <xf numFmtId="2" fontId="16" fillId="0" borderId="0" xfId="0" applyNumberFormat="1" applyFont="1" applyAlignment="1">
      <alignment horizontal="right" wrapText="1"/>
    </xf>
    <xf numFmtId="4" fontId="9" fillId="2" borderId="6" xfId="2" applyNumberFormat="1" applyFont="1" applyBorder="1"/>
    <xf numFmtId="4" fontId="9" fillId="2" borderId="9" xfId="2" applyNumberFormat="1" applyFont="1" applyBorder="1"/>
    <xf numFmtId="4" fontId="3" fillId="2" borderId="11" xfId="2" applyNumberFormat="1" applyBorder="1"/>
    <xf numFmtId="4" fontId="5" fillId="4" borderId="4" xfId="4" applyNumberFormat="1" applyBorder="1" applyAlignment="1">
      <alignment horizontal="right" wrapText="1"/>
    </xf>
    <xf numFmtId="4" fontId="5" fillId="4" borderId="11" xfId="4" applyNumberFormat="1" applyBorder="1"/>
    <xf numFmtId="4" fontId="3" fillId="2" borderId="3" xfId="2" applyNumberFormat="1" applyBorder="1" applyAlignment="1">
      <alignment horizontal="center" wrapText="1"/>
    </xf>
    <xf numFmtId="4" fontId="3" fillId="2" borderId="4" xfId="2" applyNumberFormat="1" applyBorder="1" applyAlignment="1">
      <alignment horizontal="right" wrapText="1"/>
    </xf>
    <xf numFmtId="4" fontId="26" fillId="2" borderId="2" xfId="2" applyNumberFormat="1" applyFont="1" applyBorder="1" applyAlignment="1">
      <alignment horizontal="center" wrapText="1"/>
    </xf>
    <xf numFmtId="4" fontId="5" fillId="4" borderId="3" xfId="4" applyNumberFormat="1" applyBorder="1" applyAlignment="1" applyProtection="1">
      <alignment horizontal="center" wrapText="1"/>
    </xf>
    <xf numFmtId="4" fontId="5" fillId="4" borderId="4" xfId="4" applyNumberFormat="1" applyBorder="1" applyAlignment="1" applyProtection="1">
      <alignment horizontal="right" wrapText="1"/>
    </xf>
    <xf numFmtId="4" fontId="5" fillId="4" borderId="2" xfId="4" applyNumberFormat="1" applyBorder="1" applyProtection="1"/>
    <xf numFmtId="4" fontId="27" fillId="4" borderId="2" xfId="4" applyNumberFormat="1" applyFont="1" applyBorder="1" applyAlignment="1" applyProtection="1">
      <alignment horizontal="center" wrapText="1"/>
    </xf>
    <xf numFmtId="0" fontId="26" fillId="2" borderId="2" xfId="2" applyFont="1" applyBorder="1"/>
    <xf numFmtId="0" fontId="27" fillId="4" borderId="6" xfId="4" applyFont="1" applyBorder="1"/>
    <xf numFmtId="0" fontId="26" fillId="2" borderId="2" xfId="2" applyFont="1" applyBorder="1" applyAlignment="1">
      <alignment horizontal="center" vertical="center"/>
    </xf>
    <xf numFmtId="0" fontId="27" fillId="4" borderId="2" xfId="4" applyFont="1" applyBorder="1" applyAlignment="1">
      <alignment horizontal="center" vertical="center"/>
    </xf>
    <xf numFmtId="0" fontId="19" fillId="7" borderId="3" xfId="0" applyFont="1" applyFill="1" applyBorder="1" applyAlignment="1">
      <alignment horizontal="center" wrapText="1"/>
    </xf>
    <xf numFmtId="0" fontId="19" fillId="7" borderId="8" xfId="0" applyFont="1" applyFill="1" applyBorder="1" applyAlignment="1">
      <alignment horizontal="center" wrapText="1"/>
    </xf>
    <xf numFmtId="2" fontId="22" fillId="7" borderId="4" xfId="0" applyNumberFormat="1" applyFont="1" applyFill="1" applyBorder="1" applyAlignment="1">
      <alignment horizontal="right" wrapText="1"/>
    </xf>
    <xf numFmtId="2" fontId="22" fillId="7" borderId="8" xfId="0" applyNumberFormat="1" applyFont="1" applyFill="1" applyBorder="1" applyAlignment="1">
      <alignment horizontal="right" wrapText="1"/>
    </xf>
    <xf numFmtId="2" fontId="19" fillId="7" borderId="2" xfId="0" applyNumberFormat="1" applyFont="1" applyFill="1" applyBorder="1" applyAlignment="1">
      <alignment horizontal="right" wrapText="1"/>
    </xf>
    <xf numFmtId="0" fontId="20" fillId="6" borderId="3" xfId="0" applyFont="1" applyFill="1" applyBorder="1" applyAlignment="1">
      <alignment horizontal="center" wrapText="1"/>
    </xf>
    <xf numFmtId="0" fontId="20" fillId="6" borderId="8" xfId="0" applyFont="1" applyFill="1" applyBorder="1" applyAlignment="1">
      <alignment horizontal="center" wrapText="1"/>
    </xf>
    <xf numFmtId="2" fontId="23" fillId="6" borderId="4" xfId="0" applyNumberFormat="1" applyFont="1" applyFill="1" applyBorder="1" applyAlignment="1">
      <alignment horizontal="right" wrapText="1"/>
    </xf>
    <xf numFmtId="2" fontId="23" fillId="6" borderId="8" xfId="0" applyNumberFormat="1" applyFont="1" applyFill="1" applyBorder="1" applyAlignment="1">
      <alignment horizontal="right" wrapText="1"/>
    </xf>
    <xf numFmtId="0" fontId="18" fillId="0" borderId="9" xfId="0" applyFont="1" applyBorder="1" applyAlignment="1">
      <alignment horizontal="left" wrapText="1"/>
    </xf>
    <xf numFmtId="0" fontId="16" fillId="0" borderId="5" xfId="0" applyFont="1" applyBorder="1" applyAlignment="1">
      <alignment horizontal="center" wrapText="1"/>
    </xf>
    <xf numFmtId="2" fontId="19" fillId="7" borderId="9" xfId="0" applyNumberFormat="1" applyFont="1" applyFill="1" applyBorder="1" applyAlignment="1">
      <alignment horizontal="right" wrapText="1"/>
    </xf>
    <xf numFmtId="2" fontId="23" fillId="6" borderId="3" xfId="0" applyNumberFormat="1" applyFont="1" applyFill="1" applyBorder="1" applyAlignment="1">
      <alignment horizontal="right" wrapText="1"/>
    </xf>
    <xf numFmtId="2" fontId="22" fillId="7" borderId="13" xfId="0" applyNumberFormat="1" applyFont="1" applyFill="1" applyBorder="1" applyAlignment="1">
      <alignment horizontal="right" wrapText="1"/>
    </xf>
    <xf numFmtId="2" fontId="22" fillId="7" borderId="11" xfId="0" applyNumberFormat="1" applyFont="1" applyFill="1" applyBorder="1" applyAlignment="1">
      <alignment horizontal="right" wrapText="1"/>
    </xf>
    <xf numFmtId="2" fontId="22" fillId="7" borderId="14" xfId="0" applyNumberFormat="1" applyFont="1" applyFill="1" applyBorder="1" applyAlignment="1">
      <alignment horizontal="right" wrapText="1"/>
    </xf>
    <xf numFmtId="2" fontId="22" fillId="7" borderId="0" xfId="0" applyNumberFormat="1" applyFont="1" applyFill="1" applyBorder="1" applyAlignment="1">
      <alignment horizontal="right" wrapText="1"/>
    </xf>
    <xf numFmtId="2" fontId="22" fillId="7" borderId="15" xfId="0" applyNumberFormat="1" applyFont="1" applyFill="1" applyBorder="1" applyAlignment="1">
      <alignment horizontal="right" wrapText="1"/>
    </xf>
    <xf numFmtId="2" fontId="22" fillId="7" borderId="10" xfId="0" applyNumberFormat="1" applyFont="1" applyFill="1" applyBorder="1" applyAlignment="1">
      <alignment horizontal="right" wrapText="1"/>
    </xf>
    <xf numFmtId="0" fontId="18" fillId="0" borderId="5" xfId="0" applyFont="1" applyBorder="1" applyAlignment="1">
      <alignment horizontal="left" wrapText="1"/>
    </xf>
    <xf numFmtId="2" fontId="19" fillId="7" borderId="5" xfId="0" applyNumberFormat="1" applyFont="1" applyFill="1" applyBorder="1" applyAlignment="1">
      <alignment horizontal="right" wrapText="1"/>
    </xf>
    <xf numFmtId="2" fontId="19" fillId="7" borderId="6" xfId="0" applyNumberFormat="1" applyFont="1" applyFill="1" applyBorder="1" applyAlignment="1">
      <alignment horizontal="right" wrapText="1"/>
    </xf>
    <xf numFmtId="43" fontId="11" fillId="0" borderId="0" xfId="9"/>
    <xf numFmtId="43" fontId="8" fillId="0" borderId="0" xfId="9" applyFont="1"/>
    <xf numFmtId="43" fontId="11" fillId="0" borderId="0" xfId="9" applyFont="1"/>
    <xf numFmtId="0" fontId="28" fillId="0" borderId="0" xfId="1" applyFont="1" applyAlignment="1" applyProtection="1"/>
    <xf numFmtId="0" fontId="29" fillId="0" borderId="0" xfId="10"/>
    <xf numFmtId="164" fontId="3" fillId="2" borderId="4" xfId="2" applyNumberFormat="1" applyBorder="1" applyAlignment="1" applyProtection="1"/>
    <xf numFmtId="43" fontId="26" fillId="2" borderId="2" xfId="2" applyNumberFormat="1" applyFont="1" applyBorder="1" applyAlignment="1" applyProtection="1">
      <alignment horizontal="center" wrapText="1"/>
    </xf>
    <xf numFmtId="43" fontId="8" fillId="0" borderId="5" xfId="9" applyFont="1" applyBorder="1"/>
    <xf numFmtId="164" fontId="5" fillId="4" borderId="4" xfId="4" applyNumberFormat="1" applyBorder="1" applyAlignment="1" applyProtection="1"/>
    <xf numFmtId="0" fontId="0" fillId="0" borderId="3" xfId="0" applyBorder="1"/>
    <xf numFmtId="0" fontId="0" fillId="0" borderId="2" xfId="0" applyBorder="1"/>
    <xf numFmtId="43" fontId="27" fillId="4" borderId="2" xfId="4" applyNumberFormat="1" applyFont="1" applyBorder="1" applyAlignment="1" applyProtection="1">
      <alignment horizontal="center" wrapText="1"/>
    </xf>
    <xf numFmtId="164" fontId="3" fillId="2" borderId="0" xfId="2" applyNumberFormat="1" applyBorder="1" applyAlignment="1" applyProtection="1"/>
    <xf numFmtId="2" fontId="3" fillId="2" borderId="4" xfId="2" applyNumberFormat="1" applyBorder="1" applyAlignment="1" applyProtection="1"/>
    <xf numFmtId="2" fontId="5" fillId="4" borderId="4" xfId="4" applyNumberFormat="1" applyBorder="1" applyAlignment="1" applyProtection="1"/>
    <xf numFmtId="2" fontId="3" fillId="2" borderId="0" xfId="2" applyNumberFormat="1" applyBorder="1" applyAlignment="1" applyProtection="1"/>
    <xf numFmtId="2" fontId="11" fillId="0" borderId="4" xfId="9" applyNumberFormat="1" applyBorder="1" applyAlignment="1" applyProtection="1"/>
    <xf numFmtId="2" fontId="3" fillId="2" borderId="2" xfId="2" applyNumberFormat="1" applyBorder="1" applyAlignment="1" applyProtection="1"/>
    <xf numFmtId="2" fontId="5" fillId="4" borderId="2" xfId="4" applyNumberFormat="1" applyBorder="1" applyAlignment="1" applyProtection="1"/>
    <xf numFmtId="2" fontId="3" fillId="2" borderId="5" xfId="2" applyNumberFormat="1" applyBorder="1" applyAlignment="1" applyProtection="1"/>
    <xf numFmtId="2" fontId="0" fillId="0" borderId="4" xfId="0" applyNumberFormat="1" applyBorder="1"/>
    <xf numFmtId="2" fontId="0" fillId="0" borderId="3" xfId="0" applyNumberFormat="1" applyBorder="1"/>
    <xf numFmtId="2" fontId="0" fillId="0" borderId="2" xfId="0" applyNumberFormat="1" applyBorder="1"/>
    <xf numFmtId="2" fontId="0" fillId="0" borderId="0" xfId="0" applyNumberFormat="1"/>
    <xf numFmtId="2" fontId="4" fillId="3" borderId="5" xfId="3" applyNumberFormat="1" applyBorder="1" applyAlignment="1" applyProtection="1"/>
    <xf numFmtId="2" fontId="4" fillId="3" borderId="2" xfId="3" applyNumberFormat="1" applyBorder="1" applyAlignment="1" applyProtection="1"/>
    <xf numFmtId="0" fontId="0" fillId="0" borderId="5" xfId="0" applyBorder="1"/>
    <xf numFmtId="0" fontId="0" fillId="0" borderId="6" xfId="0" applyBorder="1"/>
    <xf numFmtId="43" fontId="26" fillId="2" borderId="5" xfId="2" applyNumberFormat="1" applyFont="1" applyBorder="1" applyAlignment="1" applyProtection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30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 wrapText="1"/>
    </xf>
    <xf numFmtId="0" fontId="30" fillId="0" borderId="4" xfId="0" applyFont="1" applyBorder="1" applyAlignment="1">
      <alignment horizontal="left" wrapText="1"/>
    </xf>
    <xf numFmtId="0" fontId="31" fillId="0" borderId="4" xfId="0" applyFont="1" applyBorder="1" applyAlignment="1">
      <alignment horizontal="left" wrapText="1"/>
    </xf>
    <xf numFmtId="0" fontId="30" fillId="0" borderId="4" xfId="0" applyFont="1" applyBorder="1" applyAlignment="1">
      <alignment horizontal="center" wrapText="1"/>
    </xf>
    <xf numFmtId="0" fontId="21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wrapText="1"/>
    </xf>
    <xf numFmtId="0" fontId="31" fillId="0" borderId="5" xfId="0" applyFont="1" applyBorder="1" applyAlignment="1">
      <alignment horizontal="left" wrapText="1"/>
    </xf>
    <xf numFmtId="0" fontId="31" fillId="0" borderId="2" xfId="0" applyFont="1" applyBorder="1" applyAlignment="1">
      <alignment horizontal="center" wrapText="1"/>
    </xf>
    <xf numFmtId="0" fontId="31" fillId="0" borderId="2" xfId="0" applyFont="1" applyBorder="1" applyAlignment="1">
      <alignment horizontal="left" wrapText="1"/>
    </xf>
    <xf numFmtId="0" fontId="32" fillId="0" borderId="5" xfId="0" applyFont="1" applyBorder="1" applyAlignment="1">
      <alignment horizontal="left" wrapText="1"/>
    </xf>
    <xf numFmtId="0" fontId="32" fillId="0" borderId="2" xfId="0" applyFont="1" applyBorder="1" applyAlignment="1">
      <alignment horizontal="left" wrapText="1"/>
    </xf>
    <xf numFmtId="0" fontId="3" fillId="2" borderId="0" xfId="2" applyBorder="1" applyAlignment="1">
      <alignment horizontal="center" vertical="center" wrapText="1"/>
    </xf>
    <xf numFmtId="0" fontId="26" fillId="2" borderId="16" xfId="2" applyFont="1" applyBorder="1" applyAlignment="1">
      <alignment horizontal="center" vertical="center" wrapText="1"/>
    </xf>
    <xf numFmtId="0" fontId="5" fillId="4" borderId="4" xfId="4" applyBorder="1" applyAlignment="1">
      <alignment horizontal="left" wrapText="1"/>
    </xf>
    <xf numFmtId="0" fontId="27" fillId="4" borderId="12" xfId="4" applyFont="1" applyBorder="1" applyAlignment="1">
      <alignment horizontal="center" vertical="center" wrapText="1"/>
    </xf>
    <xf numFmtId="0" fontId="3" fillId="2" borderId="4" xfId="2" applyBorder="1" applyAlignment="1">
      <alignment horizontal="left" wrapText="1"/>
    </xf>
    <xf numFmtId="0" fontId="5" fillId="4" borderId="0" xfId="4" applyBorder="1" applyAlignment="1">
      <alignment horizontal="left" wrapText="1"/>
    </xf>
    <xf numFmtId="0" fontId="27" fillId="4" borderId="17" xfId="4" applyFont="1" applyBorder="1" applyAlignment="1">
      <alignment horizontal="center" vertical="center" wrapText="1"/>
    </xf>
    <xf numFmtId="0" fontId="26" fillId="2" borderId="12" xfId="2" applyFont="1" applyBorder="1" applyAlignment="1">
      <alignment horizontal="center" vertical="center" wrapText="1"/>
    </xf>
    <xf numFmtId="0" fontId="3" fillId="2" borderId="4" xfId="2" applyBorder="1" applyAlignment="1">
      <alignment horizontal="center" vertical="center" wrapText="1"/>
    </xf>
    <xf numFmtId="2" fontId="3" fillId="2" borderId="0" xfId="2" applyNumberFormat="1" applyBorder="1" applyAlignment="1">
      <alignment horizontal="right" wrapText="1"/>
    </xf>
    <xf numFmtId="2" fontId="5" fillId="4" borderId="4" xfId="4" applyNumberFormat="1" applyBorder="1" applyAlignment="1">
      <alignment horizontal="right" wrapText="1"/>
    </xf>
    <xf numFmtId="2" fontId="3" fillId="2" borderId="4" xfId="2" applyNumberFormat="1" applyBorder="1" applyAlignment="1">
      <alignment horizontal="right" wrapText="1"/>
    </xf>
    <xf numFmtId="2" fontId="5" fillId="4" borderId="0" xfId="4" applyNumberFormat="1" applyBorder="1" applyAlignment="1">
      <alignment horizontal="right" wrapText="1"/>
    </xf>
    <xf numFmtId="2" fontId="3" fillId="2" borderId="5" xfId="2" applyNumberFormat="1" applyBorder="1" applyAlignment="1">
      <alignment horizontal="right" wrapText="1"/>
    </xf>
    <xf numFmtId="2" fontId="5" fillId="4" borderId="2" xfId="4" applyNumberFormat="1" applyBorder="1" applyAlignment="1">
      <alignment horizontal="right" wrapText="1"/>
    </xf>
    <xf numFmtId="2" fontId="3" fillId="2" borderId="2" xfId="2" applyNumberFormat="1" applyBorder="1" applyAlignment="1">
      <alignment horizontal="right" wrapText="1"/>
    </xf>
    <xf numFmtId="2" fontId="5" fillId="4" borderId="5" xfId="4" applyNumberFormat="1" applyBorder="1" applyAlignment="1">
      <alignment horizontal="right" wrapText="1"/>
    </xf>
    <xf numFmtId="2" fontId="3" fillId="2" borderId="0" xfId="2" applyNumberFormat="1" applyBorder="1" applyAlignment="1">
      <alignment horizontal="left" wrapText="1"/>
    </xf>
    <xf numFmtId="2" fontId="5" fillId="4" borderId="4" xfId="4" applyNumberFormat="1" applyBorder="1" applyAlignment="1">
      <alignment horizontal="left" wrapText="1"/>
    </xf>
    <xf numFmtId="2" fontId="3" fillId="2" borderId="4" xfId="2" applyNumberFormat="1" applyBorder="1" applyAlignment="1">
      <alignment horizontal="left" wrapText="1"/>
    </xf>
    <xf numFmtId="2" fontId="5" fillId="4" borderId="0" xfId="4" applyNumberFormat="1" applyBorder="1" applyAlignment="1">
      <alignment horizontal="left" wrapText="1"/>
    </xf>
    <xf numFmtId="0" fontId="0" fillId="0" borderId="9" xfId="0" applyBorder="1"/>
    <xf numFmtId="0" fontId="31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wrapText="1"/>
    </xf>
    <xf numFmtId="0" fontId="33" fillId="0" borderId="0" xfId="0" applyFont="1"/>
    <xf numFmtId="0" fontId="21" fillId="0" borderId="9" xfId="0" applyFont="1" applyBorder="1" applyAlignment="1">
      <alignment horizontal="center" wrapText="1"/>
    </xf>
    <xf numFmtId="0" fontId="26" fillId="2" borderId="3" xfId="2" applyFont="1" applyBorder="1" applyAlignment="1">
      <alignment horizontal="center" wrapText="1"/>
    </xf>
    <xf numFmtId="0" fontId="26" fillId="2" borderId="8" xfId="2" applyFont="1" applyBorder="1" applyAlignment="1">
      <alignment horizontal="center" wrapText="1"/>
    </xf>
    <xf numFmtId="0" fontId="3" fillId="2" borderId="4" xfId="2" applyBorder="1" applyAlignment="1">
      <alignment horizontal="center" wrapText="1"/>
    </xf>
    <xf numFmtId="0" fontId="5" fillId="4" borderId="0" xfId="4" applyBorder="1" applyAlignment="1">
      <alignment horizontal="center" wrapText="1"/>
    </xf>
    <xf numFmtId="0" fontId="3" fillId="2" borderId="10" xfId="2" applyBorder="1" applyAlignment="1">
      <alignment horizontal="center" wrapText="1"/>
    </xf>
    <xf numFmtId="0" fontId="5" fillId="4" borderId="4" xfId="4" applyBorder="1" applyAlignment="1">
      <alignment horizontal="center" wrapText="1"/>
    </xf>
    <xf numFmtId="4" fontId="3" fillId="2" borderId="10" xfId="2" applyNumberFormat="1" applyBorder="1"/>
    <xf numFmtId="0" fontId="3" fillId="2" borderId="10" xfId="2" applyBorder="1" applyAlignment="1">
      <alignment horizontal="left" vertical="center" wrapText="1"/>
    </xf>
    <xf numFmtId="0" fontId="3" fillId="2" borderId="4" xfId="2" applyBorder="1" applyAlignment="1">
      <alignment horizontal="left" vertical="center" wrapText="1"/>
    </xf>
    <xf numFmtId="0" fontId="5" fillId="4" borderId="4" xfId="4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43" fontId="35" fillId="0" borderId="0" xfId="9" applyFont="1"/>
    <xf numFmtId="0" fontId="36" fillId="0" borderId="0" xfId="21"/>
    <xf numFmtId="0" fontId="8" fillId="0" borderId="0" xfId="21" applyFont="1" applyAlignment="1">
      <alignment horizontal="center" vertical="center"/>
    </xf>
    <xf numFmtId="0" fontId="8" fillId="0" borderId="0" xfId="21" applyFont="1" applyAlignment="1">
      <alignment vertical="center"/>
    </xf>
    <xf numFmtId="0" fontId="11" fillId="0" borderId="0" xfId="21" applyFont="1"/>
    <xf numFmtId="0" fontId="36" fillId="0" borderId="0" xfId="21" applyAlignment="1">
      <alignment horizontal="center" vertical="center"/>
    </xf>
    <xf numFmtId="0" fontId="0" fillId="0" borderId="0" xfId="21" applyFont="1"/>
    <xf numFmtId="0" fontId="8" fillId="0" borderId="24" xfId="21" applyFont="1" applyBorder="1"/>
    <xf numFmtId="0" fontId="8" fillId="0" borderId="0" xfId="21" applyFont="1"/>
    <xf numFmtId="0" fontId="36" fillId="0" borderId="0" xfId="21" applyAlignment="1">
      <alignment horizontal="center"/>
    </xf>
    <xf numFmtId="0" fontId="11" fillId="0" borderId="0" xfId="21" applyFont="1" applyAlignment="1">
      <alignment horizontal="left" indent="1"/>
    </xf>
    <xf numFmtId="0" fontId="36" fillId="0" borderId="25" xfId="21" applyBorder="1" applyAlignment="1">
      <alignment horizontal="center"/>
    </xf>
    <xf numFmtId="0" fontId="29" fillId="0" borderId="0" xfId="0" applyFont="1"/>
    <xf numFmtId="0" fontId="8" fillId="0" borderId="0" xfId="21" applyFont="1" applyFill="1" applyBorder="1"/>
    <xf numFmtId="4" fontId="3" fillId="2" borderId="22" xfId="2" applyNumberFormat="1" applyBorder="1" applyAlignment="1" applyProtection="1">
      <alignment horizontal="center" wrapText="1"/>
    </xf>
    <xf numFmtId="4" fontId="3" fillId="2" borderId="23" xfId="2" applyNumberFormat="1" applyBorder="1" applyAlignment="1" applyProtection="1"/>
    <xf numFmtId="4" fontId="3" fillId="2" borderId="21" xfId="2" applyNumberFormat="1" applyBorder="1" applyAlignment="1" applyProtection="1"/>
    <xf numFmtId="4" fontId="3" fillId="2" borderId="22" xfId="2" applyNumberFormat="1" applyBorder="1" applyAlignment="1" applyProtection="1"/>
    <xf numFmtId="4" fontId="3" fillId="2" borderId="23" xfId="2" applyNumberFormat="1" applyBorder="1" applyAlignment="1" applyProtection="1">
      <alignment horizontal="right"/>
    </xf>
    <xf numFmtId="4" fontId="5" fillId="4" borderId="22" xfId="4" applyNumberFormat="1" applyBorder="1" applyAlignment="1" applyProtection="1">
      <alignment horizontal="center" wrapText="1"/>
    </xf>
    <xf numFmtId="4" fontId="5" fillId="4" borderId="23" xfId="4" applyNumberFormat="1" applyBorder="1" applyAlignment="1" applyProtection="1"/>
    <xf numFmtId="4" fontId="5" fillId="4" borderId="21" xfId="4" applyNumberFormat="1" applyBorder="1" applyAlignment="1" applyProtection="1"/>
    <xf numFmtId="4" fontId="5" fillId="4" borderId="22" xfId="4" applyNumberFormat="1" applyBorder="1" applyAlignment="1" applyProtection="1"/>
    <xf numFmtId="4" fontId="5" fillId="4" borderId="23" xfId="4" applyNumberFormat="1" applyBorder="1" applyAlignment="1" applyProtection="1">
      <alignment horizontal="right"/>
    </xf>
    <xf numFmtId="4" fontId="26" fillId="2" borderId="21" xfId="2" applyNumberFormat="1" applyFont="1" applyBorder="1" applyAlignment="1" applyProtection="1">
      <alignment horizontal="center" wrapText="1"/>
    </xf>
    <xf numFmtId="4" fontId="27" fillId="4" borderId="21" xfId="4" applyNumberFormat="1" applyFont="1" applyBorder="1" applyAlignment="1" applyProtection="1">
      <alignment horizontal="center" wrapText="1"/>
    </xf>
    <xf numFmtId="0" fontId="36" fillId="0" borderId="26" xfId="21" applyBorder="1" applyAlignment="1">
      <alignment horizontal="center" vertical="center"/>
    </xf>
    <xf numFmtId="165" fontId="5" fillId="4" borderId="2" xfId="4" applyNumberFormat="1" applyBorder="1" applyAlignment="1" applyProtection="1"/>
    <xf numFmtId="2" fontId="3" fillId="2" borderId="4" xfId="2" applyNumberFormat="1" applyBorder="1" applyAlignment="1">
      <alignment horizontal="right" vertical="center" wrapText="1"/>
    </xf>
    <xf numFmtId="2" fontId="5" fillId="4" borderId="4" xfId="4" applyNumberFormat="1" applyBorder="1" applyAlignment="1">
      <alignment horizontal="right" vertical="center" wrapText="1"/>
    </xf>
    <xf numFmtId="2" fontId="3" fillId="2" borderId="10" xfId="2" applyNumberFormat="1" applyBorder="1" applyAlignment="1">
      <alignment horizontal="right" vertical="center" wrapText="1"/>
    </xf>
    <xf numFmtId="2" fontId="3" fillId="2" borderId="2" xfId="2" applyNumberFormat="1" applyBorder="1" applyAlignment="1">
      <alignment horizontal="right" vertical="center" wrapText="1"/>
    </xf>
    <xf numFmtId="2" fontId="5" fillId="4" borderId="2" xfId="4" applyNumberFormat="1" applyBorder="1" applyAlignment="1">
      <alignment horizontal="right" vertical="center" wrapText="1"/>
    </xf>
    <xf numFmtId="2" fontId="3" fillId="2" borderId="6" xfId="2" applyNumberFormat="1" applyBorder="1" applyAlignment="1">
      <alignment horizontal="right" vertical="center" wrapText="1"/>
    </xf>
    <xf numFmtId="2" fontId="3" fillId="2" borderId="2" xfId="2" applyNumberFormat="1" applyBorder="1" applyAlignment="1">
      <alignment horizontal="left" vertical="center" wrapText="1"/>
    </xf>
    <xf numFmtId="2" fontId="5" fillId="4" borderId="2" xfId="4" applyNumberFormat="1" applyBorder="1" applyAlignment="1">
      <alignment horizontal="left" vertical="center" wrapText="1"/>
    </xf>
    <xf numFmtId="2" fontId="3" fillId="2" borderId="6" xfId="2" applyNumberFormat="1" applyBorder="1" applyAlignment="1">
      <alignment horizontal="left" vertical="center" wrapText="1"/>
    </xf>
    <xf numFmtId="2" fontId="3" fillId="2" borderId="4" xfId="2" applyNumberFormat="1" applyBorder="1" applyAlignment="1">
      <alignment horizontal="left" vertical="center" wrapText="1"/>
    </xf>
    <xf numFmtId="2" fontId="5" fillId="4" borderId="4" xfId="4" applyNumberFormat="1" applyBorder="1" applyAlignment="1">
      <alignment horizontal="left" vertical="center" wrapText="1"/>
    </xf>
    <xf numFmtId="2" fontId="3" fillId="2" borderId="10" xfId="2" applyNumberFormat="1" applyBorder="1" applyAlignment="1">
      <alignment horizontal="left" vertical="center" wrapText="1"/>
    </xf>
    <xf numFmtId="2" fontId="3" fillId="2" borderId="10" xfId="2" applyNumberFormat="1" applyBorder="1" applyAlignment="1">
      <alignment horizontal="right" wrapText="1"/>
    </xf>
    <xf numFmtId="2" fontId="3" fillId="2" borderId="6" xfId="2" applyNumberFormat="1" applyBorder="1" applyAlignment="1">
      <alignment horizontal="right" wrapText="1"/>
    </xf>
    <xf numFmtId="2" fontId="3" fillId="2" borderId="2" xfId="2" applyNumberFormat="1" applyBorder="1" applyAlignment="1">
      <alignment horizontal="left" wrapText="1"/>
    </xf>
    <xf numFmtId="2" fontId="5" fillId="4" borderId="5" xfId="4" applyNumberFormat="1" applyBorder="1" applyAlignment="1">
      <alignment horizontal="left" wrapText="1"/>
    </xf>
    <xf numFmtId="2" fontId="5" fillId="4" borderId="2" xfId="4" applyNumberFormat="1" applyBorder="1" applyAlignment="1">
      <alignment horizontal="left" wrapText="1"/>
    </xf>
    <xf numFmtId="2" fontId="3" fillId="2" borderId="6" xfId="2" applyNumberFormat="1" applyBorder="1" applyAlignment="1">
      <alignment horizontal="left" wrapText="1"/>
    </xf>
    <xf numFmtId="2" fontId="3" fillId="2" borderId="10" xfId="2" applyNumberFormat="1" applyBorder="1" applyAlignment="1">
      <alignment horizontal="left" wrapText="1"/>
    </xf>
    <xf numFmtId="2" fontId="0" fillId="0" borderId="0" xfId="0" applyNumberFormat="1" applyBorder="1"/>
    <xf numFmtId="2" fontId="0" fillId="0" borderId="10" xfId="0" applyNumberFormat="1" applyBorder="1"/>
    <xf numFmtId="0" fontId="40" fillId="0" borderId="0" xfId="0" applyFont="1"/>
    <xf numFmtId="166" fontId="41" fillId="0" borderId="0" xfId="0" applyNumberFormat="1" applyFont="1"/>
    <xf numFmtId="166" fontId="42" fillId="0" borderId="0" xfId="0" applyNumberFormat="1" applyFont="1"/>
    <xf numFmtId="4" fontId="4" fillId="3" borderId="2" xfId="3" applyNumberFormat="1" applyBorder="1"/>
    <xf numFmtId="2" fontId="4" fillId="3" borderId="2" xfId="3" applyNumberFormat="1" applyBorder="1" applyAlignment="1">
      <alignment horizontal="right" wrapText="1"/>
    </xf>
    <xf numFmtId="2" fontId="4" fillId="3" borderId="5" xfId="3" applyNumberFormat="1" applyBorder="1" applyAlignment="1">
      <alignment horizontal="right" wrapText="1"/>
    </xf>
    <xf numFmtId="2" fontId="4" fillId="3" borderId="6" xfId="3" applyNumberFormat="1" applyBorder="1" applyAlignment="1">
      <alignment horizontal="right" wrapText="1"/>
    </xf>
    <xf numFmtId="4" fontId="4" fillId="3" borderId="2" xfId="3" applyNumberFormat="1" applyBorder="1" applyProtection="1"/>
    <xf numFmtId="0" fontId="41" fillId="0" borderId="0" xfId="0" applyFont="1" applyFill="1" applyBorder="1"/>
    <xf numFmtId="0" fontId="45" fillId="0" borderId="0" xfId="0" applyFont="1"/>
    <xf numFmtId="0" fontId="44" fillId="0" borderId="0" xfId="0" applyFont="1"/>
    <xf numFmtId="0" fontId="26" fillId="2" borderId="2" xfId="2" applyFont="1" applyBorder="1" applyAlignment="1">
      <alignment horizontal="center" vertical="center" wrapText="1"/>
    </xf>
    <xf numFmtId="0" fontId="27" fillId="4" borderId="2" xfId="4" applyFont="1" applyBorder="1" applyAlignment="1">
      <alignment horizontal="center" vertical="center" wrapText="1"/>
    </xf>
    <xf numFmtId="0" fontId="26" fillId="2" borderId="6" xfId="2" applyFont="1" applyBorder="1" applyAlignment="1">
      <alignment horizontal="center" vertical="center" wrapText="1"/>
    </xf>
    <xf numFmtId="0" fontId="26" fillId="2" borderId="15" xfId="2" applyFont="1" applyBorder="1" applyAlignment="1">
      <alignment horizontal="center" wrapText="1"/>
    </xf>
    <xf numFmtId="0" fontId="26" fillId="2" borderId="19" xfId="2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8" fillId="0" borderId="13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27" fillId="4" borderId="14" xfId="4" applyFont="1" applyBorder="1" applyAlignment="1">
      <alignment horizontal="center" wrapText="1"/>
    </xf>
    <xf numFmtId="0" fontId="27" fillId="4" borderId="18" xfId="4" applyFont="1" applyBorder="1" applyAlignment="1">
      <alignment horizontal="center" wrapText="1"/>
    </xf>
    <xf numFmtId="0" fontId="26" fillId="2" borderId="3" xfId="2" applyFont="1" applyBorder="1" applyAlignment="1">
      <alignment horizontal="center" wrapText="1"/>
    </xf>
    <xf numFmtId="0" fontId="26" fillId="2" borderId="8" xfId="2" applyFont="1" applyBorder="1" applyAlignment="1">
      <alignment horizontal="center" wrapText="1"/>
    </xf>
    <xf numFmtId="0" fontId="27" fillId="4" borderId="3" xfId="4" applyFont="1" applyBorder="1" applyAlignment="1">
      <alignment horizontal="center" wrapText="1"/>
    </xf>
    <xf numFmtId="0" fontId="27" fillId="4" borderId="8" xfId="4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left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37" fillId="0" borderId="0" xfId="21" applyFont="1" applyFill="1" applyBorder="1" applyAlignment="1">
      <alignment horizontal="center"/>
    </xf>
    <xf numFmtId="0" fontId="36" fillId="0" borderId="0" xfId="21" applyAlignment="1">
      <alignment wrapText="1"/>
    </xf>
    <xf numFmtId="0" fontId="34" fillId="0" borderId="0" xfId="0" applyFont="1" applyAlignment="1">
      <alignment horizontal="left" vertical="center" wrapText="1"/>
    </xf>
  </cellXfs>
  <cellStyles count="54">
    <cellStyle name="20% - Accent2" xfId="6" builtinId="34"/>
    <cellStyle name="Bad" xfId="3" builtinId="27"/>
    <cellStyle name="Comma 2" xfId="9"/>
    <cellStyle name="Excel Built-in Good" xfId="22"/>
    <cellStyle name="Excel Built-in Neutral" xfId="23"/>
    <cellStyle name="Excel Built-in Normal" xfId="21"/>
    <cellStyle name="Followed Hyperlink" xfId="8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Good" xfId="2" builtinId="26"/>
    <cellStyle name="Hyperlink" xfId="7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Neutral" xfId="4" builtinId="28"/>
    <cellStyle name="Normal" xfId="0" builtinId="0"/>
    <cellStyle name="Normal 2" xfId="10"/>
    <cellStyle name="Title" xfId="1" builtinId="15"/>
    <cellStyle name="Total" xfId="5" builtinId="2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6"/>
  <sheetViews>
    <sheetView topLeftCell="A29" workbookViewId="0">
      <selection activeCell="C71" sqref="C71"/>
    </sheetView>
  </sheetViews>
  <sheetFormatPr baseColWidth="10" defaultRowHeight="14" x14ac:dyDescent="0"/>
  <cols>
    <col min="1" max="1" width="22.1640625" style="82" bestFit="1" customWidth="1"/>
    <col min="2" max="2" width="10.33203125" style="82" customWidth="1"/>
    <col min="3" max="3" width="10.83203125" style="82" customWidth="1"/>
    <col min="4" max="4" width="10.33203125" style="82" customWidth="1"/>
    <col min="5" max="5" width="10.6640625" style="82" customWidth="1"/>
    <col min="6" max="6" width="10.5" style="82" customWidth="1"/>
    <col min="7" max="7" width="1.1640625" style="82" customWidth="1"/>
    <col min="8" max="257" width="10.83203125" style="82"/>
    <col min="258" max="16384" width="10.83203125" style="86"/>
  </cols>
  <sheetData>
    <row r="1" spans="1:6" ht="17">
      <c r="B1" s="164" t="s">
        <v>155</v>
      </c>
    </row>
    <row r="3" spans="1:6" ht="28.25" customHeight="1">
      <c r="B3" s="88" t="s">
        <v>62</v>
      </c>
      <c r="C3" s="93" t="s">
        <v>98</v>
      </c>
      <c r="D3" s="110" t="s">
        <v>49</v>
      </c>
      <c r="E3" s="93" t="s">
        <v>99</v>
      </c>
      <c r="F3" s="88" t="s">
        <v>51</v>
      </c>
    </row>
    <row r="4" spans="1:6" ht="14.75" customHeight="1">
      <c r="A4" s="83" t="s">
        <v>7</v>
      </c>
      <c r="B4" s="87"/>
      <c r="C4" s="90"/>
      <c r="D4" s="94"/>
      <c r="E4" s="90"/>
      <c r="F4" s="87"/>
    </row>
    <row r="5" spans="1:6" ht="14.75" customHeight="1">
      <c r="A5" s="82" t="s">
        <v>75</v>
      </c>
      <c r="B5" s="95">
        <v>4000</v>
      </c>
      <c r="C5" s="96">
        <v>100</v>
      </c>
      <c r="D5" s="97">
        <v>4000</v>
      </c>
      <c r="E5" s="96">
        <v>3000</v>
      </c>
      <c r="F5" s="95">
        <v>4000</v>
      </c>
    </row>
    <row r="6" spans="1:6" ht="14.75" customHeight="1">
      <c r="A6" s="82" t="s">
        <v>76</v>
      </c>
      <c r="B6" s="95">
        <v>35000</v>
      </c>
      <c r="C6" s="96">
        <v>44800</v>
      </c>
      <c r="D6" s="97">
        <v>50000</v>
      </c>
      <c r="E6" s="96">
        <f>70400+(2*400)</f>
        <v>71200</v>
      </c>
      <c r="F6" s="95">
        <v>80000</v>
      </c>
    </row>
    <row r="7" spans="1:6" ht="14.75" customHeight="1">
      <c r="A7" s="82" t="s">
        <v>77</v>
      </c>
      <c r="B7" s="95">
        <v>15000</v>
      </c>
      <c r="C7" s="96">
        <v>27200</v>
      </c>
      <c r="D7" s="97">
        <v>32000</v>
      </c>
      <c r="E7" s="96">
        <v>14280</v>
      </c>
      <c r="F7" s="95">
        <v>30000</v>
      </c>
    </row>
    <row r="8" spans="1:6" ht="14.75" customHeight="1">
      <c r="A8" s="82" t="s">
        <v>78</v>
      </c>
      <c r="B8" s="95">
        <v>0</v>
      </c>
      <c r="C8" s="96">
        <v>0</v>
      </c>
      <c r="D8" s="97">
        <v>500</v>
      </c>
      <c r="E8" s="96">
        <v>0</v>
      </c>
      <c r="F8" s="95">
        <v>0</v>
      </c>
    </row>
    <row r="9" spans="1:6" ht="14.75" customHeight="1">
      <c r="A9" s="82" t="s">
        <v>79</v>
      </c>
      <c r="B9" s="95">
        <v>0</v>
      </c>
      <c r="C9" s="96">
        <v>82350</v>
      </c>
      <c r="D9" s="97">
        <v>0</v>
      </c>
      <c r="E9" s="96">
        <v>3150</v>
      </c>
      <c r="F9" s="95">
        <v>0</v>
      </c>
    </row>
    <row r="10" spans="1:6" ht="14.75" customHeight="1">
      <c r="A10" s="82" t="s">
        <v>80</v>
      </c>
      <c r="B10" s="95">
        <v>10000</v>
      </c>
      <c r="C10" s="96">
        <v>11947</v>
      </c>
      <c r="D10" s="97">
        <v>0</v>
      </c>
      <c r="E10" s="96">
        <v>375.11</v>
      </c>
      <c r="F10" s="95">
        <v>0</v>
      </c>
    </row>
    <row r="11" spans="1:6" ht="14.75" customHeight="1">
      <c r="A11" s="84" t="s">
        <v>81</v>
      </c>
      <c r="B11" s="95">
        <v>0</v>
      </c>
      <c r="C11" s="96">
        <v>96910</v>
      </c>
      <c r="D11" s="97">
        <v>100000</v>
      </c>
      <c r="E11" s="96">
        <v>1500</v>
      </c>
      <c r="F11" s="95">
        <v>0</v>
      </c>
    </row>
    <row r="12" spans="1:6" ht="14.75" customHeight="1">
      <c r="A12" s="84" t="s">
        <v>82</v>
      </c>
      <c r="B12" s="95">
        <v>0</v>
      </c>
      <c r="C12" s="96">
        <v>0</v>
      </c>
      <c r="D12" s="97">
        <v>0</v>
      </c>
      <c r="E12" s="96">
        <v>0</v>
      </c>
      <c r="F12" s="95">
        <v>5000</v>
      </c>
    </row>
    <row r="13" spans="1:6" ht="14.75" customHeight="1">
      <c r="A13" s="84" t="s">
        <v>83</v>
      </c>
      <c r="B13" s="95">
        <v>0</v>
      </c>
      <c r="C13" s="96">
        <v>0</v>
      </c>
      <c r="D13" s="97">
        <v>0</v>
      </c>
      <c r="E13" s="96">
        <v>100</v>
      </c>
      <c r="F13" s="95">
        <v>8640</v>
      </c>
    </row>
    <row r="14" spans="1:6" ht="14.75" customHeight="1">
      <c r="A14" s="84" t="s">
        <v>84</v>
      </c>
      <c r="B14" s="95">
        <v>0</v>
      </c>
      <c r="C14" s="96">
        <v>0</v>
      </c>
      <c r="D14" s="97">
        <v>0</v>
      </c>
      <c r="E14" s="96">
        <v>0</v>
      </c>
      <c r="F14" s="95">
        <v>27000</v>
      </c>
    </row>
    <row r="15" spans="1:6" ht="14.75" customHeight="1">
      <c r="A15" s="82" t="s">
        <v>9</v>
      </c>
      <c r="B15" s="95">
        <v>80000</v>
      </c>
      <c r="C15" s="96">
        <v>79500.84</v>
      </c>
      <c r="D15" s="97">
        <v>85000</v>
      </c>
      <c r="E15" s="96">
        <v>82216</v>
      </c>
      <c r="F15" s="95">
        <v>100000</v>
      </c>
    </row>
    <row r="16" spans="1:6" ht="14.75" customHeight="1">
      <c r="A16" s="82" t="s">
        <v>85</v>
      </c>
      <c r="B16" s="95">
        <v>0</v>
      </c>
      <c r="C16" s="96">
        <v>0</v>
      </c>
      <c r="D16" s="97">
        <v>0</v>
      </c>
      <c r="E16" s="96">
        <v>0</v>
      </c>
      <c r="F16" s="95">
        <v>10000</v>
      </c>
    </row>
    <row r="17" spans="1:6" ht="14.75" customHeight="1">
      <c r="A17" s="82" t="s">
        <v>86</v>
      </c>
      <c r="B17" s="95">
        <v>0</v>
      </c>
      <c r="C17" s="96">
        <v>0</v>
      </c>
      <c r="D17" s="97">
        <v>200</v>
      </c>
      <c r="E17" s="96">
        <v>0</v>
      </c>
      <c r="F17" s="95">
        <v>0</v>
      </c>
    </row>
    <row r="18" spans="1:6" ht="14.75" customHeight="1">
      <c r="A18" s="82" t="s">
        <v>87</v>
      </c>
      <c r="B18" s="95">
        <v>0</v>
      </c>
      <c r="C18" s="96">
        <v>0</v>
      </c>
      <c r="D18" s="97">
        <v>0</v>
      </c>
      <c r="E18" s="96">
        <v>160</v>
      </c>
      <c r="F18" s="95">
        <v>0</v>
      </c>
    </row>
    <row r="19" spans="1:6" ht="14.75" customHeight="1">
      <c r="A19" s="82" t="s">
        <v>88</v>
      </c>
      <c r="B19" s="95">
        <v>0</v>
      </c>
      <c r="C19" s="96">
        <v>0</v>
      </c>
      <c r="D19" s="97">
        <v>0</v>
      </c>
      <c r="E19" s="96">
        <f>2345+250</f>
        <v>2595</v>
      </c>
      <c r="F19" s="95">
        <v>5000</v>
      </c>
    </row>
    <row r="20" spans="1:6" ht="14.75" customHeight="1">
      <c r="A20" s="82" t="s">
        <v>20</v>
      </c>
      <c r="B20" s="95">
        <v>0</v>
      </c>
      <c r="C20" s="96">
        <v>45785.91</v>
      </c>
      <c r="D20" s="97">
        <v>0</v>
      </c>
      <c r="E20" s="96">
        <v>0</v>
      </c>
      <c r="F20" s="95">
        <v>0</v>
      </c>
    </row>
    <row r="21" spans="1:6" ht="14.75" customHeight="1">
      <c r="A21" s="84" t="s">
        <v>89</v>
      </c>
      <c r="B21" s="95">
        <v>0</v>
      </c>
      <c r="C21" s="96">
        <v>4849</v>
      </c>
      <c r="D21" s="97">
        <v>2000</v>
      </c>
      <c r="E21" s="96">
        <v>0</v>
      </c>
      <c r="F21" s="95">
        <v>1000</v>
      </c>
    </row>
    <row r="22" spans="1:6" ht="14.75" customHeight="1">
      <c r="A22" s="89" t="s">
        <v>14</v>
      </c>
      <c r="B22" s="99">
        <f>SUM(B5:B21)</f>
        <v>144000</v>
      </c>
      <c r="C22" s="100">
        <f>SUM(C5:C21)</f>
        <v>393442.75</v>
      </c>
      <c r="D22" s="101">
        <f>SUM(D5:D21)</f>
        <v>273700</v>
      </c>
      <c r="E22" s="100">
        <f>SUM(E5:E21)</f>
        <v>178576.11</v>
      </c>
      <c r="F22" s="99">
        <f>SUM(F5:F21)</f>
        <v>270640</v>
      </c>
    </row>
    <row r="23" spans="1:6" ht="14.75" customHeight="1">
      <c r="B23" s="102"/>
      <c r="C23" s="103"/>
      <c r="D23"/>
      <c r="E23" s="91"/>
      <c r="F23" s="91"/>
    </row>
    <row r="24" spans="1:6" ht="14.75" customHeight="1">
      <c r="A24" s="83" t="s">
        <v>15</v>
      </c>
      <c r="B24" s="104"/>
      <c r="C24" s="104"/>
      <c r="D24" s="108"/>
      <c r="E24" s="92"/>
      <c r="F24" s="92"/>
    </row>
    <row r="25" spans="1:6" ht="14.75" customHeight="1">
      <c r="A25" s="82" t="s">
        <v>37</v>
      </c>
      <c r="B25" s="95">
        <v>0</v>
      </c>
      <c r="C25" s="96">
        <v>199.5</v>
      </c>
      <c r="D25" s="97">
        <v>0</v>
      </c>
      <c r="E25" s="96">
        <v>0</v>
      </c>
      <c r="F25" s="95">
        <v>0</v>
      </c>
    </row>
    <row r="26" spans="1:6" ht="14.75" customHeight="1">
      <c r="A26" s="82" t="s">
        <v>36</v>
      </c>
      <c r="B26" s="95">
        <v>1900</v>
      </c>
      <c r="C26" s="96">
        <v>0</v>
      </c>
      <c r="D26" s="97">
        <v>2050</v>
      </c>
      <c r="E26" s="96">
        <v>3428</v>
      </c>
      <c r="F26" s="95">
        <v>2200</v>
      </c>
    </row>
    <row r="27" spans="1:6" ht="14.75" customHeight="1">
      <c r="A27" s="82" t="s">
        <v>26</v>
      </c>
      <c r="B27" s="95">
        <v>2000</v>
      </c>
      <c r="C27" s="96">
        <v>0</v>
      </c>
      <c r="D27" s="97">
        <v>2000</v>
      </c>
      <c r="E27" s="96">
        <v>4781.25</v>
      </c>
      <c r="F27" s="95">
        <v>2000</v>
      </c>
    </row>
    <row r="28" spans="1:6" ht="14.75" customHeight="1">
      <c r="A28" s="82" t="s">
        <v>184</v>
      </c>
      <c r="B28" s="95">
        <v>0</v>
      </c>
      <c r="C28" s="96">
        <v>0</v>
      </c>
      <c r="D28" s="97">
        <v>500</v>
      </c>
      <c r="E28" s="96">
        <v>0</v>
      </c>
      <c r="F28" s="95">
        <v>1000</v>
      </c>
    </row>
    <row r="29" spans="1:6" ht="14.75" customHeight="1">
      <c r="A29" s="82" t="s">
        <v>34</v>
      </c>
      <c r="B29" s="95">
        <v>2000</v>
      </c>
      <c r="C29" s="96">
        <v>1179</v>
      </c>
      <c r="D29" s="97">
        <v>2200</v>
      </c>
      <c r="E29" s="96">
        <v>1432.6</v>
      </c>
      <c r="F29" s="95">
        <v>2400</v>
      </c>
    </row>
    <row r="30" spans="1:6" ht="14.75" customHeight="1">
      <c r="A30" s="82" t="s">
        <v>29</v>
      </c>
      <c r="B30" s="95">
        <v>0</v>
      </c>
      <c r="C30" s="96">
        <v>2600</v>
      </c>
      <c r="D30" s="97">
        <v>0</v>
      </c>
      <c r="E30" s="96">
        <v>0</v>
      </c>
      <c r="F30" s="95">
        <v>0</v>
      </c>
    </row>
    <row r="31" spans="1:6" ht="14.75" customHeight="1">
      <c r="A31" s="82" t="s">
        <v>90</v>
      </c>
      <c r="B31" s="95">
        <v>0</v>
      </c>
      <c r="C31" s="96">
        <v>9394.6</v>
      </c>
      <c r="D31" s="97">
        <v>7000</v>
      </c>
      <c r="E31" s="96">
        <v>0</v>
      </c>
      <c r="F31" s="95">
        <v>7000</v>
      </c>
    </row>
    <row r="32" spans="1:6" ht="14.75" customHeight="1">
      <c r="A32" s="82" t="s">
        <v>91</v>
      </c>
      <c r="B32" s="95">
        <v>0</v>
      </c>
      <c r="C32" s="96">
        <v>2433.41</v>
      </c>
      <c r="D32" s="97">
        <v>0</v>
      </c>
      <c r="E32" s="96">
        <v>0</v>
      </c>
      <c r="F32" s="95">
        <v>0</v>
      </c>
    </row>
    <row r="33" spans="1:6" ht="14.75" customHeight="1">
      <c r="A33" s="82" t="s">
        <v>84</v>
      </c>
      <c r="B33" s="95">
        <v>0</v>
      </c>
      <c r="C33" s="96">
        <v>0</v>
      </c>
      <c r="D33" s="97">
        <v>0</v>
      </c>
      <c r="E33" s="96">
        <v>2571</v>
      </c>
      <c r="F33" s="95">
        <v>27000</v>
      </c>
    </row>
    <row r="34" spans="1:6" ht="14.75" customHeight="1">
      <c r="A34" s="82" t="s">
        <v>82</v>
      </c>
      <c r="B34" s="95">
        <v>0</v>
      </c>
      <c r="C34" s="96">
        <v>0</v>
      </c>
      <c r="D34" s="97">
        <v>0</v>
      </c>
      <c r="E34" s="96">
        <v>0</v>
      </c>
      <c r="F34" s="95">
        <v>7500</v>
      </c>
    </row>
    <row r="35" spans="1:6" ht="14.75" customHeight="1">
      <c r="A35" s="82" t="s">
        <v>75</v>
      </c>
      <c r="B35" s="95">
        <v>7000</v>
      </c>
      <c r="C35" s="96">
        <v>369</v>
      </c>
      <c r="D35" s="97">
        <v>7000</v>
      </c>
      <c r="E35" s="96">
        <v>10682</v>
      </c>
      <c r="F35" s="95">
        <v>8000</v>
      </c>
    </row>
    <row r="36" spans="1:6" ht="14.75" customHeight="1">
      <c r="A36" s="82" t="s">
        <v>76</v>
      </c>
      <c r="B36" s="95">
        <v>50000</v>
      </c>
      <c r="C36" s="96">
        <v>66687</v>
      </c>
      <c r="D36" s="97">
        <v>60000</v>
      </c>
      <c r="E36" s="96">
        <v>98023</v>
      </c>
      <c r="F36" s="95">
        <v>100000</v>
      </c>
    </row>
    <row r="37" spans="1:6" ht="14.75" customHeight="1">
      <c r="A37" s="82" t="s">
        <v>79</v>
      </c>
      <c r="B37" s="95">
        <v>0</v>
      </c>
      <c r="C37" s="96">
        <v>137913</v>
      </c>
      <c r="D37" s="97">
        <v>0</v>
      </c>
      <c r="E37" s="96">
        <v>1468</v>
      </c>
      <c r="F37" s="95">
        <v>0</v>
      </c>
    </row>
    <row r="38" spans="1:6" ht="14.75" customHeight="1">
      <c r="A38" s="82" t="s">
        <v>77</v>
      </c>
      <c r="B38" s="95">
        <v>18000</v>
      </c>
      <c r="C38" s="96">
        <v>32063.75</v>
      </c>
      <c r="D38" s="97">
        <v>40000</v>
      </c>
      <c r="E38" s="96">
        <v>27370.55</v>
      </c>
      <c r="F38" s="95">
        <v>40000</v>
      </c>
    </row>
    <row r="39" spans="1:6" ht="14.75" customHeight="1">
      <c r="A39" s="82" t="s">
        <v>78</v>
      </c>
      <c r="B39" s="95">
        <v>400</v>
      </c>
      <c r="C39" s="96">
        <v>313</v>
      </c>
      <c r="D39" s="97">
        <v>500</v>
      </c>
      <c r="E39" s="96">
        <v>1748.65</v>
      </c>
      <c r="F39" s="95">
        <v>500</v>
      </c>
    </row>
    <row r="40" spans="1:6" ht="14.75" customHeight="1">
      <c r="A40" s="82" t="s">
        <v>80</v>
      </c>
      <c r="B40" s="95">
        <v>4000</v>
      </c>
      <c r="C40" s="96">
        <v>12447</v>
      </c>
      <c r="D40" s="97">
        <v>0</v>
      </c>
      <c r="E40" s="96">
        <v>375.11</v>
      </c>
      <c r="F40" s="95">
        <v>0</v>
      </c>
    </row>
    <row r="41" spans="1:6" ht="14.75" customHeight="1">
      <c r="A41" s="82" t="s">
        <v>92</v>
      </c>
      <c r="B41" s="95">
        <v>0</v>
      </c>
      <c r="C41" s="96">
        <v>0</v>
      </c>
      <c r="D41" s="97">
        <v>0</v>
      </c>
      <c r="E41" s="96">
        <v>0</v>
      </c>
      <c r="F41" s="95">
        <v>10000</v>
      </c>
    </row>
    <row r="42" spans="1:6" ht="14.75" customHeight="1">
      <c r="A42" s="84" t="s">
        <v>81</v>
      </c>
      <c r="B42" s="95">
        <v>0</v>
      </c>
      <c r="C42" s="96">
        <v>89515</v>
      </c>
      <c r="D42" s="97">
        <v>100000</v>
      </c>
      <c r="E42" s="96">
        <v>0</v>
      </c>
      <c r="F42" s="95">
        <v>0</v>
      </c>
    </row>
    <row r="43" spans="1:6" ht="14.75" customHeight="1">
      <c r="A43" s="82" t="s">
        <v>93</v>
      </c>
      <c r="B43" s="95">
        <v>7000</v>
      </c>
      <c r="C43" s="96">
        <v>0</v>
      </c>
      <c r="D43" s="97">
        <v>7000</v>
      </c>
      <c r="E43" s="96">
        <v>7000</v>
      </c>
      <c r="F43" s="95">
        <v>8000</v>
      </c>
    </row>
    <row r="44" spans="1:6" ht="14.75" customHeight="1">
      <c r="A44" s="82" t="s">
        <v>88</v>
      </c>
      <c r="B44" s="95">
        <v>0</v>
      </c>
      <c r="C44" s="96">
        <v>0</v>
      </c>
      <c r="D44" s="97">
        <v>0</v>
      </c>
      <c r="E44" s="96">
        <v>0</v>
      </c>
      <c r="F44" s="95">
        <v>10000</v>
      </c>
    </row>
    <row r="45" spans="1:6" ht="14.75" customHeight="1">
      <c r="A45" s="84" t="s">
        <v>83</v>
      </c>
      <c r="B45" s="95">
        <v>0</v>
      </c>
      <c r="C45" s="96">
        <v>0</v>
      </c>
      <c r="D45" s="97">
        <v>0</v>
      </c>
      <c r="E45" s="96">
        <v>900</v>
      </c>
      <c r="F45" s="95">
        <v>13440</v>
      </c>
    </row>
    <row r="46" spans="1:6" ht="14.75" customHeight="1">
      <c r="A46" s="82" t="s">
        <v>9</v>
      </c>
      <c r="B46" s="95">
        <v>80000</v>
      </c>
      <c r="C46" s="96">
        <v>23618</v>
      </c>
      <c r="D46" s="97">
        <v>85000</v>
      </c>
      <c r="E46" s="96">
        <f>47950+(53166.25)</f>
        <v>101116.25</v>
      </c>
      <c r="F46" s="95">
        <v>110000</v>
      </c>
    </row>
    <row r="47" spans="1:6" ht="14.75" customHeight="1">
      <c r="A47" s="82" t="s">
        <v>94</v>
      </c>
      <c r="B47" s="95">
        <v>0</v>
      </c>
      <c r="C47" s="96">
        <v>0</v>
      </c>
      <c r="D47" s="97">
        <v>1000</v>
      </c>
      <c r="E47" s="96">
        <v>0</v>
      </c>
      <c r="F47" s="95">
        <v>1000</v>
      </c>
    </row>
    <row r="48" spans="1:6" ht="14.75" customHeight="1">
      <c r="A48" s="84" t="s">
        <v>95</v>
      </c>
      <c r="B48" s="95">
        <v>0</v>
      </c>
      <c r="C48" s="96">
        <v>0</v>
      </c>
      <c r="D48" s="97">
        <v>0</v>
      </c>
      <c r="E48" s="96">
        <v>906.1</v>
      </c>
      <c r="F48" s="95">
        <v>0</v>
      </c>
    </row>
    <row r="49" spans="1:6" ht="14.75" customHeight="1">
      <c r="A49" s="84" t="s">
        <v>96</v>
      </c>
      <c r="B49" s="95">
        <v>0</v>
      </c>
      <c r="C49" s="96">
        <v>0</v>
      </c>
      <c r="D49" s="97">
        <v>0</v>
      </c>
      <c r="E49" s="96">
        <v>375.11</v>
      </c>
      <c r="F49" s="95">
        <v>1000</v>
      </c>
    </row>
    <row r="50" spans="1:6" ht="14.75" customHeight="1">
      <c r="A50" s="84" t="s">
        <v>97</v>
      </c>
      <c r="B50" s="95">
        <v>0</v>
      </c>
      <c r="C50" s="96">
        <v>0</v>
      </c>
      <c r="D50" s="97">
        <v>0</v>
      </c>
      <c r="E50" s="96">
        <f>700*2 + 400*2 + 100 + 250</f>
        <v>2550</v>
      </c>
      <c r="F50" s="95">
        <v>6500</v>
      </c>
    </row>
    <row r="51" spans="1:6" ht="14.75" customHeight="1">
      <c r="A51" s="82" t="s">
        <v>35</v>
      </c>
      <c r="B51" s="95">
        <v>0</v>
      </c>
      <c r="C51" s="96">
        <v>350</v>
      </c>
      <c r="D51" s="97">
        <v>0</v>
      </c>
      <c r="E51" s="96">
        <v>0</v>
      </c>
      <c r="F51" s="95">
        <v>2000</v>
      </c>
    </row>
    <row r="52" spans="1:6" ht="14.75" customHeight="1">
      <c r="A52" s="84" t="s">
        <v>19</v>
      </c>
      <c r="B52" s="95">
        <v>4000</v>
      </c>
      <c r="C52" s="96">
        <v>236</v>
      </c>
      <c r="D52" s="97">
        <v>1000</v>
      </c>
      <c r="E52" s="96">
        <v>0</v>
      </c>
      <c r="F52" s="95">
        <v>1000</v>
      </c>
    </row>
    <row r="53" spans="1:6" ht="14.75" customHeight="1">
      <c r="A53" s="89" t="s">
        <v>14</v>
      </c>
      <c r="B53" s="99">
        <f>SUM(B25:B52)</f>
        <v>176300</v>
      </c>
      <c r="C53" s="100">
        <f>SUM(C25:C52)</f>
        <v>379318.26</v>
      </c>
      <c r="D53" s="101">
        <f>SUM(D25:D52)</f>
        <v>315250</v>
      </c>
      <c r="E53" s="100">
        <f>SUM(E25:E52)</f>
        <v>264727.62</v>
      </c>
      <c r="F53" s="99">
        <f>SUM(F25:F52)</f>
        <v>360540</v>
      </c>
    </row>
    <row r="54" spans="1:6" ht="14.75" customHeight="1">
      <c r="A54" s="83"/>
      <c r="B54" s="98"/>
      <c r="C54" s="104"/>
      <c r="D54" s="105"/>
      <c r="E54"/>
      <c r="F54" s="92"/>
    </row>
    <row r="55" spans="1:6" ht="14.75" customHeight="1">
      <c r="A55" s="85" t="s">
        <v>42</v>
      </c>
      <c r="B55" s="107">
        <f>B22-B53</f>
        <v>-32300</v>
      </c>
      <c r="C55" s="99">
        <f>C22-C53</f>
        <v>14124.489999999991</v>
      </c>
      <c r="D55" s="106">
        <f>D22-D53</f>
        <v>-41550</v>
      </c>
      <c r="E55" s="107">
        <f>E22-E53</f>
        <v>-86151.510000000009</v>
      </c>
      <c r="F55" s="107">
        <f>F22-F53</f>
        <v>-89900</v>
      </c>
    </row>
    <row r="58" spans="1:6">
      <c r="A58" s="214" t="s">
        <v>189</v>
      </c>
      <c r="B58" s="215"/>
    </row>
    <row r="59" spans="1:6">
      <c r="A59" s="215" t="s">
        <v>190</v>
      </c>
      <c r="B59" s="215">
        <v>-26823</v>
      </c>
    </row>
    <row r="60" spans="1:6">
      <c r="A60" s="215" t="s">
        <v>191</v>
      </c>
      <c r="B60" s="215">
        <v>-13090.55</v>
      </c>
    </row>
    <row r="61" spans="1:6">
      <c r="A61" s="215" t="s">
        <v>192</v>
      </c>
      <c r="B61" s="215">
        <v>-800</v>
      </c>
    </row>
    <row r="62" spans="1:6">
      <c r="A62" s="215" t="s">
        <v>193</v>
      </c>
      <c r="B62" s="215">
        <v>-18900.25</v>
      </c>
    </row>
    <row r="63" spans="1:6">
      <c r="A63" s="215" t="s">
        <v>194</v>
      </c>
      <c r="B63" s="215">
        <v>2595</v>
      </c>
    </row>
    <row r="64" spans="1:6">
      <c r="A64" s="215" t="s">
        <v>195</v>
      </c>
      <c r="B64" s="215">
        <v>-7682</v>
      </c>
    </row>
    <row r="66" spans="1:1">
      <c r="A66" s="82" t="s">
        <v>197</v>
      </c>
    </row>
  </sheetData>
  <phoneticPr fontId="43" type="noConversion"/>
  <pageMargins left="0.7" right="0.7" top="0.75" bottom="0.75" header="0.51180555555555496" footer="0.51180555555555496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H11" sqref="H11"/>
    </sheetView>
  </sheetViews>
  <sheetFormatPr baseColWidth="10" defaultRowHeight="15" x14ac:dyDescent="0"/>
  <cols>
    <col min="1" max="1" width="11" bestFit="1" customWidth="1"/>
    <col min="2" max="2" width="12.33203125" customWidth="1"/>
    <col min="3" max="3" width="13" customWidth="1"/>
    <col min="4" max="4" width="12" customWidth="1"/>
    <col min="6" max="6" width="15.1640625" bestFit="1" customWidth="1"/>
  </cols>
  <sheetData>
    <row r="1" spans="1:6">
      <c r="B1" s="20" t="s">
        <v>49</v>
      </c>
      <c r="C1" s="21" t="s">
        <v>50</v>
      </c>
      <c r="D1" s="20" t="s">
        <v>51</v>
      </c>
      <c r="F1" s="22" t="s">
        <v>52</v>
      </c>
    </row>
    <row r="2" spans="1:6">
      <c r="A2" s="5" t="s">
        <v>7</v>
      </c>
      <c r="B2" s="23"/>
      <c r="C2" s="24"/>
      <c r="D2" s="23"/>
      <c r="F2" s="25"/>
    </row>
    <row r="3" spans="1:6">
      <c r="A3" s="26" t="s">
        <v>53</v>
      </c>
      <c r="B3" s="7">
        <v>273700</v>
      </c>
      <c r="C3" s="27">
        <f>ArrKom!E22</f>
        <v>178576.11</v>
      </c>
      <c r="D3" s="7">
        <f>ArrKom!F22</f>
        <v>270640</v>
      </c>
      <c r="F3" s="28">
        <f>D3-B3</f>
        <v>-3060</v>
      </c>
    </row>
    <row r="4" spans="1:6">
      <c r="A4" s="26" t="s">
        <v>54</v>
      </c>
      <c r="B4" s="7">
        <v>0</v>
      </c>
      <c r="C4" s="27">
        <v>0</v>
      </c>
      <c r="D4" s="7">
        <v>0</v>
      </c>
      <c r="F4" s="28">
        <f>D4-B4</f>
        <v>0</v>
      </c>
    </row>
    <row r="5" spans="1:6">
      <c r="A5" s="26" t="s">
        <v>55</v>
      </c>
      <c r="B5" s="7">
        <v>840000</v>
      </c>
      <c r="C5" s="27">
        <f>BedKom!F12</f>
        <v>544488.75</v>
      </c>
      <c r="D5" s="7">
        <f>BedKom!G12</f>
        <v>1127500</v>
      </c>
      <c r="F5" s="28">
        <f t="shared" ref="F5:F22" si="0">D5-B5</f>
        <v>287500</v>
      </c>
    </row>
    <row r="6" spans="1:6">
      <c r="A6" s="26" t="s">
        <v>56</v>
      </c>
      <c r="B6" s="7">
        <v>30000</v>
      </c>
      <c r="C6" s="27">
        <f>DotKom!F8</f>
        <v>1.87</v>
      </c>
      <c r="D6" s="7">
        <f>DotKom!G8</f>
        <v>30000</v>
      </c>
      <c r="F6" s="28">
        <f t="shared" si="0"/>
        <v>0</v>
      </c>
    </row>
    <row r="7" spans="1:6">
      <c r="A7" s="26" t="s">
        <v>57</v>
      </c>
      <c r="B7" s="46">
        <v>190000</v>
      </c>
      <c r="C7" s="47">
        <f>FagKom!F13</f>
        <v>410841.87</v>
      </c>
      <c r="D7" s="158">
        <f>FagKom!G13</f>
        <v>230000</v>
      </c>
      <c r="F7" s="28">
        <f t="shared" si="0"/>
        <v>40000</v>
      </c>
    </row>
    <row r="8" spans="1:6">
      <c r="A8" s="26" t="s">
        <v>58</v>
      </c>
      <c r="B8" s="7">
        <v>15000</v>
      </c>
      <c r="C8" s="27">
        <f>HS!F11</f>
        <v>11358.57</v>
      </c>
      <c r="D8" s="7">
        <f>HS!G11</f>
        <v>10000</v>
      </c>
      <c r="F8" s="28">
        <f t="shared" si="0"/>
        <v>-5000</v>
      </c>
    </row>
    <row r="9" spans="1:6">
      <c r="A9" s="26" t="s">
        <v>59</v>
      </c>
      <c r="B9" s="7">
        <v>174875</v>
      </c>
      <c r="C9" s="27">
        <f>ProKom!F14</f>
        <v>107047.79</v>
      </c>
      <c r="D9" s="7">
        <f>ProKom!G14</f>
        <v>168156</v>
      </c>
      <c r="F9" s="28">
        <f t="shared" si="0"/>
        <v>-6719</v>
      </c>
    </row>
    <row r="10" spans="1:6">
      <c r="A10" s="26" t="s">
        <v>60</v>
      </c>
      <c r="B10" s="7">
        <v>10000</v>
      </c>
      <c r="C10" s="27">
        <f>TriKom!E8</f>
        <v>81.58</v>
      </c>
      <c r="D10" s="7">
        <f>TriKom!F8</f>
        <v>10000</v>
      </c>
      <c r="F10" s="28">
        <f t="shared" si="0"/>
        <v>0</v>
      </c>
    </row>
    <row r="11" spans="1:6">
      <c r="A11" s="26" t="s">
        <v>61</v>
      </c>
      <c r="B11" s="7">
        <v>48000</v>
      </c>
      <c r="C11" s="27">
        <f>VelKom!E9</f>
        <v>33105.660000000003</v>
      </c>
      <c r="D11" s="7">
        <f>VelKom!F9</f>
        <v>70500</v>
      </c>
      <c r="F11" s="28">
        <f>D11-B11</f>
        <v>22500</v>
      </c>
    </row>
    <row r="12" spans="1:6">
      <c r="A12" s="10" t="s">
        <v>14</v>
      </c>
      <c r="B12" s="12">
        <f>SUM(B3:B10)</f>
        <v>1533575</v>
      </c>
      <c r="C12" s="18">
        <f>SUM(C3:C11)</f>
        <v>1285502.2000000002</v>
      </c>
      <c r="D12" s="12">
        <f>SUM(D3:D11)</f>
        <v>1916796</v>
      </c>
      <c r="E12" s="13"/>
      <c r="F12" s="29">
        <f>SUM(F3:F10)</f>
        <v>312721</v>
      </c>
    </row>
    <row r="13" spans="1:6">
      <c r="B13" s="7"/>
      <c r="C13" s="27"/>
      <c r="D13" s="7"/>
      <c r="F13" s="28"/>
    </row>
    <row r="14" spans="1:6">
      <c r="A14" s="13" t="s">
        <v>15</v>
      </c>
      <c r="B14" s="7"/>
      <c r="C14" s="27"/>
      <c r="D14" s="7"/>
      <c r="F14" s="28"/>
    </row>
    <row r="15" spans="1:6">
      <c r="A15" s="5" t="s">
        <v>53</v>
      </c>
      <c r="B15" s="7">
        <v>322150</v>
      </c>
      <c r="C15" s="8">
        <f>ArrKom!E53</f>
        <v>264727.62</v>
      </c>
      <c r="D15" s="7">
        <f>ArrKom!F53</f>
        <v>360540</v>
      </c>
      <c r="F15" s="28">
        <f t="shared" si="0"/>
        <v>38390</v>
      </c>
    </row>
    <row r="16" spans="1:6">
      <c r="A16" s="26" t="s">
        <v>54</v>
      </c>
      <c r="B16" s="7">
        <v>14200</v>
      </c>
      <c r="C16" s="8">
        <f>BanKom!E10</f>
        <v>10002.18</v>
      </c>
      <c r="D16" s="7">
        <f>BanKom!F10</f>
        <v>15900</v>
      </c>
      <c r="F16" s="28">
        <f>D16-B16</f>
        <v>1700</v>
      </c>
    </row>
    <row r="17" spans="1:6">
      <c r="A17" s="5" t="s">
        <v>55</v>
      </c>
      <c r="B17" s="7">
        <v>617650</v>
      </c>
      <c r="C17" s="8">
        <f>BedKom!F29</f>
        <v>356050.7</v>
      </c>
      <c r="D17" s="7">
        <f>BedKom!G29</f>
        <v>899190</v>
      </c>
      <c r="F17" s="28">
        <f t="shared" si="0"/>
        <v>281540</v>
      </c>
    </row>
    <row r="18" spans="1:6">
      <c r="A18" s="26" t="s">
        <v>56</v>
      </c>
      <c r="B18" s="7">
        <v>71600</v>
      </c>
      <c r="C18" s="8">
        <f>DotKom!F17</f>
        <v>40221.660000000003</v>
      </c>
      <c r="D18" s="7">
        <f>DotKom!G17</f>
        <v>48600</v>
      </c>
      <c r="F18" s="28">
        <f t="shared" si="0"/>
        <v>-23000</v>
      </c>
    </row>
    <row r="19" spans="1:6">
      <c r="A19" s="26" t="s">
        <v>57</v>
      </c>
      <c r="B19" s="46">
        <v>87200</v>
      </c>
      <c r="C19" s="47">
        <f>FagKom!F29</f>
        <v>247263.57</v>
      </c>
      <c r="D19" s="158">
        <f>FagKom!G29</f>
        <v>148200</v>
      </c>
      <c r="F19" s="28">
        <f t="shared" si="0"/>
        <v>61000</v>
      </c>
    </row>
    <row r="20" spans="1:6">
      <c r="A20" s="26" t="s">
        <v>58</v>
      </c>
      <c r="B20" s="7">
        <v>200260</v>
      </c>
      <c r="C20" s="8">
        <f>HS!F41</f>
        <v>233195.65000000002</v>
      </c>
      <c r="D20" s="7">
        <f>HS!G41</f>
        <v>134200</v>
      </c>
      <c r="F20" s="28">
        <f t="shared" si="0"/>
        <v>-66060</v>
      </c>
    </row>
    <row r="21" spans="1:6">
      <c r="A21" s="26" t="s">
        <v>59</v>
      </c>
      <c r="B21" s="7">
        <v>204200</v>
      </c>
      <c r="C21" s="8">
        <f>ProKom!F29</f>
        <v>175194.3</v>
      </c>
      <c r="D21" s="7">
        <f>ProKom!G29</f>
        <v>174723</v>
      </c>
      <c r="F21" s="28">
        <f t="shared" si="0"/>
        <v>-29477</v>
      </c>
    </row>
    <row r="22" spans="1:6">
      <c r="A22" s="26" t="s">
        <v>60</v>
      </c>
      <c r="B22" s="7">
        <v>35000</v>
      </c>
      <c r="C22" s="8">
        <f>TriKom!E23</f>
        <v>21480.78</v>
      </c>
      <c r="D22" s="7">
        <f>TriKom!F23</f>
        <v>53600</v>
      </c>
      <c r="F22" s="28">
        <f t="shared" si="0"/>
        <v>18600</v>
      </c>
    </row>
    <row r="23" spans="1:6">
      <c r="A23" s="26" t="s">
        <v>61</v>
      </c>
      <c r="B23" s="7">
        <v>46000</v>
      </c>
      <c r="C23" s="8">
        <f>VelKom!E25</f>
        <v>32429.05</v>
      </c>
      <c r="D23" s="7">
        <f>VelKom!F25</f>
        <v>70500</v>
      </c>
      <c r="F23" s="28">
        <f>D23-B23</f>
        <v>24500</v>
      </c>
    </row>
    <row r="24" spans="1:6">
      <c r="A24" s="10" t="s">
        <v>14</v>
      </c>
      <c r="B24" s="45">
        <f>SUM(B15:B22)</f>
        <v>1552260</v>
      </c>
      <c r="C24" s="191">
        <f>SUM(C15:C23)</f>
        <v>1380565.51</v>
      </c>
      <c r="D24" s="44">
        <f>SUM(D15:D23)</f>
        <v>1905453</v>
      </c>
      <c r="E24" s="13"/>
      <c r="F24" s="29">
        <f>SUM(F15:F22)</f>
        <v>282693</v>
      </c>
    </row>
    <row r="25" spans="1:6">
      <c r="A25" s="13"/>
      <c r="B25" s="7"/>
      <c r="C25" s="27"/>
      <c r="D25" s="7"/>
      <c r="F25" s="28"/>
    </row>
    <row r="26" spans="1:6" ht="16" thickBot="1">
      <c r="A26" s="30" t="s">
        <v>42</v>
      </c>
      <c r="B26" s="31">
        <f>B12-B24</f>
        <v>-18685</v>
      </c>
      <c r="C26" s="32">
        <f>C12-C24</f>
        <v>-95063.309999999823</v>
      </c>
      <c r="D26" s="31">
        <f>D12-D24</f>
        <v>11343</v>
      </c>
      <c r="F26" s="29">
        <f>F12-F24</f>
        <v>30028</v>
      </c>
    </row>
    <row r="27" spans="1:6" ht="16" thickTop="1">
      <c r="B27" s="5"/>
      <c r="C27" s="33"/>
    </row>
  </sheetData>
  <phoneticPr fontId="4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19" sqref="F19"/>
    </sheetView>
  </sheetViews>
  <sheetFormatPr baseColWidth="10" defaultRowHeight="15" x14ac:dyDescent="0"/>
  <cols>
    <col min="1" max="1" width="19.5" customWidth="1"/>
    <col min="2" max="2" width="13" customWidth="1"/>
    <col min="3" max="3" width="11.1640625" customWidth="1"/>
    <col min="4" max="4" width="13" customWidth="1"/>
    <col min="5" max="5" width="11.1640625" customWidth="1"/>
    <col min="6" max="6" width="13" customWidth="1"/>
  </cols>
  <sheetData>
    <row r="1" spans="1:6" ht="18">
      <c r="A1" s="34"/>
      <c r="B1" s="150" t="s">
        <v>156</v>
      </c>
    </row>
    <row r="3" spans="1:6">
      <c r="B3" s="56" t="s">
        <v>62</v>
      </c>
      <c r="C3" s="57" t="s">
        <v>98</v>
      </c>
      <c r="D3" s="58" t="s">
        <v>49</v>
      </c>
      <c r="E3" s="59" t="s">
        <v>99</v>
      </c>
      <c r="F3" s="56" t="s">
        <v>51</v>
      </c>
    </row>
    <row r="4" spans="1:6">
      <c r="A4" s="13" t="s">
        <v>15</v>
      </c>
      <c r="B4" s="7"/>
      <c r="C4" s="27"/>
      <c r="D4" s="7"/>
      <c r="E4" s="27"/>
      <c r="F4" s="7"/>
    </row>
    <row r="5" spans="1:6">
      <c r="A5" s="5" t="s">
        <v>64</v>
      </c>
      <c r="B5" s="7">
        <v>2000</v>
      </c>
      <c r="C5" s="27">
        <v>0</v>
      </c>
      <c r="D5" s="7">
        <v>1000</v>
      </c>
      <c r="E5" s="27">
        <f>29+43+95+30</f>
        <v>197</v>
      </c>
      <c r="F5" s="7">
        <v>500</v>
      </c>
    </row>
    <row r="6" spans="1:6">
      <c r="A6" s="5" t="s">
        <v>34</v>
      </c>
      <c r="B6" s="7">
        <v>1000</v>
      </c>
      <c r="C6" s="27">
        <v>1500</v>
      </c>
      <c r="D6" s="7">
        <v>2000</v>
      </c>
      <c r="E6" s="27">
        <f>882.58+349+534.29</f>
        <v>1765.87</v>
      </c>
      <c r="F6" s="7">
        <v>2000</v>
      </c>
    </row>
    <row r="7" spans="1:6">
      <c r="A7" s="5" t="s">
        <v>24</v>
      </c>
      <c r="B7" s="7">
        <v>0</v>
      </c>
      <c r="C7" s="8">
        <v>1231.5</v>
      </c>
      <c r="D7" s="7">
        <v>0</v>
      </c>
      <c r="E7" s="27">
        <v>0</v>
      </c>
      <c r="F7" s="7">
        <v>3800</v>
      </c>
    </row>
    <row r="8" spans="1:6">
      <c r="A8" s="9" t="s">
        <v>65</v>
      </c>
      <c r="B8" s="7">
        <v>1000</v>
      </c>
      <c r="C8" s="27">
        <v>0</v>
      </c>
      <c r="D8" s="7">
        <v>11200</v>
      </c>
      <c r="E8" s="27">
        <f>562+1088+833+5026.31</f>
        <v>7509.31</v>
      </c>
      <c r="F8" s="7">
        <v>9000</v>
      </c>
    </row>
    <row r="9" spans="1:6">
      <c r="A9" s="5" t="s">
        <v>19</v>
      </c>
      <c r="B9" s="46">
        <v>0</v>
      </c>
      <c r="C9" s="48">
        <f>SUM(C5:C8)</f>
        <v>2731.5</v>
      </c>
      <c r="D9" s="46">
        <v>0</v>
      </c>
      <c r="E9" s="48">
        <f>371+159</f>
        <v>530</v>
      </c>
      <c r="F9" s="7">
        <v>600</v>
      </c>
    </row>
    <row r="10" spans="1:6">
      <c r="A10" s="10" t="s">
        <v>14</v>
      </c>
      <c r="B10" s="35">
        <f>SUM(B5:B8)</f>
        <v>4000</v>
      </c>
      <c r="C10" s="18">
        <f>SUM(C5:C9)</f>
        <v>5463</v>
      </c>
      <c r="D10" s="35">
        <f>SUM(D5:D9)</f>
        <v>14200</v>
      </c>
      <c r="E10" s="18">
        <f>SUM(E5:E9)</f>
        <v>10002.18</v>
      </c>
      <c r="F10" s="35">
        <f>SUM(F5:F9)</f>
        <v>15900</v>
      </c>
    </row>
    <row r="11" spans="1:6">
      <c r="A11" s="36"/>
    </row>
    <row r="12" spans="1:6" ht="16" thickBot="1">
      <c r="A12" s="30" t="s">
        <v>42</v>
      </c>
      <c r="B12" s="216">
        <f>B5+B7+B8+B6+B9</f>
        <v>4000</v>
      </c>
      <c r="C12" s="216">
        <f>C5+C6+C7+C8+C9</f>
        <v>5463</v>
      </c>
      <c r="D12" s="216">
        <f>D5+D6+D7+D8</f>
        <v>14200</v>
      </c>
      <c r="E12" s="216">
        <f>SUM(E5:E9)</f>
        <v>10002.18</v>
      </c>
      <c r="F12" s="216">
        <f>SUM(F5:F9)</f>
        <v>15900</v>
      </c>
    </row>
    <row r="13" spans="1:6" ht="16" thickTop="1"/>
  </sheetData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34" sqref="C34"/>
    </sheetView>
  </sheetViews>
  <sheetFormatPr baseColWidth="10" defaultRowHeight="15" x14ac:dyDescent="0"/>
  <cols>
    <col min="1" max="1" width="21.33203125" customWidth="1"/>
    <col min="2" max="2" width="5" customWidth="1"/>
    <col min="3" max="3" width="10.1640625" customWidth="1"/>
    <col min="7" max="7" width="11.83203125" bestFit="1" customWidth="1"/>
  </cols>
  <sheetData>
    <row r="1" spans="1:7" ht="18">
      <c r="C1" s="150" t="s">
        <v>139</v>
      </c>
    </row>
    <row r="3" spans="1:7">
      <c r="A3" s="229"/>
      <c r="B3" s="230" t="s">
        <v>1</v>
      </c>
      <c r="C3" s="152" t="s">
        <v>67</v>
      </c>
      <c r="D3" s="232" t="s">
        <v>63</v>
      </c>
      <c r="E3" s="234" t="s">
        <v>128</v>
      </c>
      <c r="F3" s="236" t="s">
        <v>50</v>
      </c>
      <c r="G3" s="227" t="s">
        <v>129</v>
      </c>
    </row>
    <row r="4" spans="1:7">
      <c r="A4" s="229"/>
      <c r="B4" s="231"/>
      <c r="C4" s="153" t="s">
        <v>70</v>
      </c>
      <c r="D4" s="233"/>
      <c r="E4" s="235"/>
      <c r="F4" s="237"/>
      <c r="G4" s="228"/>
    </row>
    <row r="5" spans="1:7">
      <c r="A5" s="39" t="s">
        <v>7</v>
      </c>
      <c r="B5" s="148"/>
      <c r="C5" s="154"/>
      <c r="D5" s="155"/>
      <c r="E5" s="154"/>
      <c r="F5" s="157"/>
      <c r="G5" s="156"/>
    </row>
    <row r="6" spans="1:7">
      <c r="A6" s="40" t="s">
        <v>89</v>
      </c>
      <c r="B6" s="149"/>
      <c r="C6" s="136">
        <v>0</v>
      </c>
      <c r="D6" s="137">
        <v>4875.25</v>
      </c>
      <c r="E6" s="136">
        <v>0</v>
      </c>
      <c r="F6" s="135">
        <v>0</v>
      </c>
      <c r="G6" s="204">
        <v>0</v>
      </c>
    </row>
    <row r="7" spans="1:7">
      <c r="A7" s="40" t="s">
        <v>130</v>
      </c>
      <c r="B7" s="149"/>
      <c r="C7" s="136">
        <v>7500</v>
      </c>
      <c r="D7" s="137">
        <v>0</v>
      </c>
      <c r="E7" s="136">
        <v>0</v>
      </c>
      <c r="F7" s="135">
        <v>61750</v>
      </c>
      <c r="G7" s="204">
        <v>0</v>
      </c>
    </row>
    <row r="8" spans="1:7">
      <c r="A8" s="40" t="s">
        <v>131</v>
      </c>
      <c r="B8" s="149"/>
      <c r="C8" s="136">
        <v>121000</v>
      </c>
      <c r="D8" s="137">
        <v>116250</v>
      </c>
      <c r="E8" s="136">
        <v>210000</v>
      </c>
      <c r="F8" s="135">
        <v>156000</v>
      </c>
      <c r="G8" s="204">
        <v>285000</v>
      </c>
    </row>
    <row r="9" spans="1:7">
      <c r="A9" s="40" t="s">
        <v>132</v>
      </c>
      <c r="B9" s="149"/>
      <c r="C9" s="136">
        <v>300000</v>
      </c>
      <c r="D9" s="137">
        <v>151763</v>
      </c>
      <c r="E9" s="136">
        <v>480000</v>
      </c>
      <c r="F9" s="135">
        <v>206738.75</v>
      </c>
      <c r="G9" s="204">
        <v>630000</v>
      </c>
    </row>
    <row r="10" spans="1:7">
      <c r="A10" s="40" t="s">
        <v>133</v>
      </c>
      <c r="B10" s="149"/>
      <c r="C10" s="136">
        <v>6000</v>
      </c>
      <c r="D10" s="137">
        <v>0</v>
      </c>
      <c r="E10" s="136">
        <v>0</v>
      </c>
      <c r="F10" s="135">
        <v>0</v>
      </c>
      <c r="G10" s="204">
        <v>0</v>
      </c>
    </row>
    <row r="11" spans="1:7">
      <c r="A11" s="40" t="s">
        <v>134</v>
      </c>
      <c r="B11" s="149"/>
      <c r="C11" s="136">
        <v>120000</v>
      </c>
      <c r="D11" s="137">
        <v>0</v>
      </c>
      <c r="E11" s="136">
        <v>150000</v>
      </c>
      <c r="F11" s="135">
        <v>120000</v>
      </c>
      <c r="G11" s="204">
        <v>212500</v>
      </c>
    </row>
    <row r="12" spans="1:7">
      <c r="A12" s="79" t="s">
        <v>14</v>
      </c>
      <c r="B12" s="151"/>
      <c r="C12" s="140">
        <v>554500</v>
      </c>
      <c r="D12" s="141">
        <v>272888.25</v>
      </c>
      <c r="E12" s="140">
        <v>840000</v>
      </c>
      <c r="F12" s="139">
        <v>544488.75</v>
      </c>
      <c r="G12" s="205">
        <f>SUM(G6:G11)</f>
        <v>1127500</v>
      </c>
    </row>
    <row r="13" spans="1:7">
      <c r="A13" s="40"/>
      <c r="B13" s="149"/>
      <c r="C13" s="206"/>
      <c r="D13" s="207"/>
      <c r="E13" s="206"/>
      <c r="F13" s="208"/>
      <c r="G13" s="209"/>
    </row>
    <row r="14" spans="1:7">
      <c r="A14" s="42" t="s">
        <v>15</v>
      </c>
      <c r="B14" s="149"/>
      <c r="C14" s="144"/>
      <c r="D14" s="145"/>
      <c r="E14" s="144"/>
      <c r="F14" s="143"/>
      <c r="G14" s="210"/>
    </row>
    <row r="15" spans="1:7">
      <c r="A15" s="40" t="s">
        <v>19</v>
      </c>
      <c r="B15" s="149"/>
      <c r="C15" s="136">
        <v>10000</v>
      </c>
      <c r="D15" s="137">
        <v>0</v>
      </c>
      <c r="E15" s="136">
        <v>7500</v>
      </c>
      <c r="F15" s="135">
        <v>0</v>
      </c>
      <c r="G15" s="204">
        <v>12000</v>
      </c>
    </row>
    <row r="16" spans="1:7">
      <c r="A16" s="40" t="s">
        <v>26</v>
      </c>
      <c r="B16" s="149"/>
      <c r="C16" s="136">
        <v>4500</v>
      </c>
      <c r="D16" s="137">
        <v>2136.5</v>
      </c>
      <c r="E16" s="136">
        <v>6000</v>
      </c>
      <c r="F16" s="135">
        <v>3216</v>
      </c>
      <c r="G16" s="204">
        <v>6600</v>
      </c>
    </row>
    <row r="17" spans="1:7">
      <c r="A17" s="40" t="s">
        <v>25</v>
      </c>
      <c r="B17" s="149"/>
      <c r="C17" s="136">
        <v>300000</v>
      </c>
      <c r="D17" s="137">
        <v>194331.5</v>
      </c>
      <c r="E17" s="136">
        <v>481600</v>
      </c>
      <c r="F17" s="135">
        <v>272241.7</v>
      </c>
      <c r="G17" s="204">
        <v>635700</v>
      </c>
    </row>
    <row r="18" spans="1:7">
      <c r="A18" s="40" t="s">
        <v>135</v>
      </c>
      <c r="B18" s="149"/>
      <c r="C18" s="136">
        <v>2000</v>
      </c>
      <c r="D18" s="137">
        <v>0</v>
      </c>
      <c r="E18" s="136">
        <v>6960</v>
      </c>
      <c r="F18" s="135">
        <v>1000</v>
      </c>
      <c r="G18" s="204">
        <v>9040</v>
      </c>
    </row>
    <row r="19" spans="1:7">
      <c r="A19" s="40" t="s">
        <v>136</v>
      </c>
      <c r="B19" s="149"/>
      <c r="C19" s="136">
        <v>3360</v>
      </c>
      <c r="D19" s="137">
        <v>150</v>
      </c>
      <c r="E19" s="136">
        <v>3840</v>
      </c>
      <c r="F19" s="135">
        <v>0</v>
      </c>
      <c r="G19" s="204">
        <v>5250</v>
      </c>
    </row>
    <row r="20" spans="1:7">
      <c r="A20" s="40" t="s">
        <v>34</v>
      </c>
      <c r="B20" s="149"/>
      <c r="C20" s="136">
        <v>2000</v>
      </c>
      <c r="D20" s="137">
        <v>0</v>
      </c>
      <c r="E20" s="136">
        <v>2400</v>
      </c>
      <c r="F20" s="135">
        <v>1501</v>
      </c>
      <c r="G20" s="204">
        <v>2600</v>
      </c>
    </row>
    <row r="21" spans="1:7">
      <c r="A21" s="40" t="s">
        <v>35</v>
      </c>
      <c r="B21" s="149"/>
      <c r="C21" s="136">
        <v>13000</v>
      </c>
      <c r="D21" s="137">
        <v>19670</v>
      </c>
      <c r="E21" s="136">
        <v>28100</v>
      </c>
      <c r="F21" s="135">
        <v>16784</v>
      </c>
      <c r="G21" s="204">
        <v>36100</v>
      </c>
    </row>
    <row r="22" spans="1:7">
      <c r="A22" s="40" t="s">
        <v>36</v>
      </c>
      <c r="B22" s="149"/>
      <c r="C22" s="136">
        <v>12000</v>
      </c>
      <c r="D22" s="137">
        <v>16086</v>
      </c>
      <c r="E22" s="136">
        <v>6250</v>
      </c>
      <c r="F22" s="135">
        <v>6308</v>
      </c>
      <c r="G22" s="204">
        <f>13150+4000+1500</f>
        <v>18650</v>
      </c>
    </row>
    <row r="23" spans="1:7">
      <c r="A23" s="40" t="s">
        <v>137</v>
      </c>
      <c r="B23" s="149"/>
      <c r="C23" s="136">
        <v>0</v>
      </c>
      <c r="D23" s="137">
        <v>0</v>
      </c>
      <c r="E23" s="136">
        <v>0</v>
      </c>
      <c r="F23" s="135">
        <v>0</v>
      </c>
      <c r="G23" s="204">
        <v>99500</v>
      </c>
    </row>
    <row r="24" spans="1:7">
      <c r="A24" s="40" t="s">
        <v>198</v>
      </c>
      <c r="B24" s="149"/>
      <c r="C24" s="136" t="s">
        <v>138</v>
      </c>
      <c r="D24" s="137" t="s">
        <v>138</v>
      </c>
      <c r="E24" s="136" t="s">
        <v>138</v>
      </c>
      <c r="F24" s="135" t="s">
        <v>138</v>
      </c>
      <c r="G24" s="204" t="s">
        <v>138</v>
      </c>
    </row>
    <row r="25" spans="1:7">
      <c r="A25" s="40" t="s">
        <v>140</v>
      </c>
      <c r="B25" s="149"/>
      <c r="C25" s="136">
        <v>5000</v>
      </c>
      <c r="D25" s="137">
        <v>0</v>
      </c>
      <c r="E25" s="136">
        <v>25000</v>
      </c>
      <c r="F25" s="135">
        <v>20000</v>
      </c>
      <c r="G25" s="204">
        <v>35000</v>
      </c>
    </row>
    <row r="26" spans="1:7">
      <c r="A26" s="40" t="s">
        <v>141</v>
      </c>
      <c r="B26" s="149"/>
      <c r="C26" s="136">
        <v>15000</v>
      </c>
      <c r="D26" s="137">
        <v>0</v>
      </c>
      <c r="E26" s="136">
        <v>15000</v>
      </c>
      <c r="F26" s="135">
        <v>15000</v>
      </c>
      <c r="G26" s="204">
        <v>15000</v>
      </c>
    </row>
    <row r="27" spans="1:7">
      <c r="A27" s="40" t="s">
        <v>142</v>
      </c>
      <c r="B27" s="149"/>
      <c r="C27" s="136">
        <v>20000</v>
      </c>
      <c r="D27" s="137">
        <v>0</v>
      </c>
      <c r="E27" s="136">
        <v>20000</v>
      </c>
      <c r="F27" s="135">
        <v>20000</v>
      </c>
      <c r="G27" s="204">
        <v>0</v>
      </c>
    </row>
    <row r="28" spans="1:7">
      <c r="A28" s="40" t="s">
        <v>143</v>
      </c>
      <c r="B28" s="149"/>
      <c r="C28" s="136">
        <v>9000</v>
      </c>
      <c r="D28" s="137">
        <v>0</v>
      </c>
      <c r="E28" s="136">
        <v>15000</v>
      </c>
      <c r="F28" s="135">
        <v>0</v>
      </c>
      <c r="G28" s="204">
        <v>23750</v>
      </c>
    </row>
    <row r="29" spans="1:7">
      <c r="A29" s="79" t="s">
        <v>14</v>
      </c>
      <c r="B29" s="151"/>
      <c r="C29" s="140">
        <v>395860</v>
      </c>
      <c r="D29" s="141">
        <v>232374</v>
      </c>
      <c r="E29" s="140">
        <v>617650</v>
      </c>
      <c r="F29" s="139">
        <v>356050.7</v>
      </c>
      <c r="G29" s="205">
        <f>SUM(G15:G28)</f>
        <v>899190</v>
      </c>
    </row>
    <row r="30" spans="1:7">
      <c r="A30" s="40"/>
      <c r="B30" s="149"/>
      <c r="C30" s="102"/>
      <c r="D30" s="211"/>
      <c r="E30" s="102"/>
      <c r="F30" s="102"/>
      <c r="G30" s="212"/>
    </row>
    <row r="31" spans="1:7">
      <c r="A31" s="79" t="s">
        <v>42</v>
      </c>
      <c r="B31" s="151"/>
      <c r="C31" s="140">
        <v>158640</v>
      </c>
      <c r="D31" s="138">
        <v>40514.25</v>
      </c>
      <c r="E31" s="140">
        <v>222350</v>
      </c>
      <c r="F31" s="140">
        <v>188438.05</v>
      </c>
      <c r="G31" s="205">
        <f>G12-G29</f>
        <v>228310</v>
      </c>
    </row>
  </sheetData>
  <mergeCells count="6">
    <mergeCell ref="G3:G4"/>
    <mergeCell ref="A3:A4"/>
    <mergeCell ref="B3:B4"/>
    <mergeCell ref="D3:D4"/>
    <mergeCell ref="E3:E4"/>
    <mergeCell ref="F3:F4"/>
  </mergeCells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I27" sqref="I27"/>
    </sheetView>
  </sheetViews>
  <sheetFormatPr baseColWidth="10" defaultRowHeight="15" x14ac:dyDescent="0"/>
  <cols>
    <col min="1" max="1" width="20.1640625" customWidth="1"/>
    <col min="2" max="2" width="5" bestFit="1" customWidth="1"/>
    <col min="3" max="7" width="9.5" bestFit="1" customWidth="1"/>
  </cols>
  <sheetData>
    <row r="1" spans="1:7" ht="18" customHeight="1">
      <c r="A1" s="37"/>
      <c r="B1" s="37"/>
      <c r="C1" s="238" t="s">
        <v>66</v>
      </c>
      <c r="D1" s="238"/>
      <c r="E1" s="238"/>
      <c r="F1" s="238"/>
      <c r="G1" s="238"/>
    </row>
    <row r="2" spans="1:7">
      <c r="A2" s="37"/>
      <c r="B2" s="37"/>
      <c r="C2" s="37"/>
      <c r="D2" s="37"/>
      <c r="E2" s="37"/>
      <c r="F2" s="37"/>
      <c r="G2" s="37"/>
    </row>
    <row r="3" spans="1:7">
      <c r="A3" s="239"/>
      <c r="B3" s="240" t="s">
        <v>1</v>
      </c>
      <c r="C3" s="60" t="s">
        <v>67</v>
      </c>
      <c r="D3" s="65" t="s">
        <v>69</v>
      </c>
      <c r="E3" s="60" t="s">
        <v>67</v>
      </c>
      <c r="F3" s="65" t="s">
        <v>69</v>
      </c>
      <c r="G3" s="60" t="s">
        <v>67</v>
      </c>
    </row>
    <row r="4" spans="1:7">
      <c r="A4" s="239"/>
      <c r="B4" s="240"/>
      <c r="C4" s="61" t="s">
        <v>68</v>
      </c>
      <c r="D4" s="66">
        <v>2011</v>
      </c>
      <c r="E4" s="61" t="s">
        <v>70</v>
      </c>
      <c r="F4" s="66">
        <v>2012</v>
      </c>
      <c r="G4" s="61" t="s">
        <v>196</v>
      </c>
    </row>
    <row r="5" spans="1:7">
      <c r="A5" s="39" t="s">
        <v>7</v>
      </c>
      <c r="B5" s="38"/>
      <c r="C5" s="60"/>
      <c r="D5" s="65"/>
      <c r="E5" s="60"/>
      <c r="F5" s="65"/>
      <c r="G5" s="60"/>
    </row>
    <row r="6" spans="1:7">
      <c r="A6" s="40" t="s">
        <v>71</v>
      </c>
      <c r="B6" s="41"/>
      <c r="C6" s="62">
        <v>0</v>
      </c>
      <c r="D6" s="67">
        <v>0</v>
      </c>
      <c r="E6" s="62">
        <v>15000</v>
      </c>
      <c r="F6" s="67">
        <v>0</v>
      </c>
      <c r="G6" s="62">
        <v>30000</v>
      </c>
    </row>
    <row r="7" spans="1:7">
      <c r="A7" s="40" t="s">
        <v>8</v>
      </c>
      <c r="B7" s="41"/>
      <c r="C7" s="63">
        <v>0</v>
      </c>
      <c r="D7" s="68">
        <v>0</v>
      </c>
      <c r="E7" s="63">
        <v>0</v>
      </c>
      <c r="F7" s="68">
        <v>1.87</v>
      </c>
      <c r="G7" s="63">
        <v>0</v>
      </c>
    </row>
    <row r="8" spans="1:7">
      <c r="A8" s="69" t="s">
        <v>14</v>
      </c>
      <c r="B8" s="70"/>
      <c r="C8" s="71">
        <v>0</v>
      </c>
      <c r="D8" s="71">
        <v>0</v>
      </c>
      <c r="E8" s="71">
        <f>SUM(E6:E7)</f>
        <v>15000</v>
      </c>
      <c r="F8" s="71">
        <f>SUM(F6:F7)</f>
        <v>1.87</v>
      </c>
      <c r="G8" s="64">
        <f>SUM(G6:G7)</f>
        <v>30000</v>
      </c>
    </row>
    <row r="9" spans="1:7">
      <c r="A9" s="37"/>
      <c r="B9" s="41"/>
      <c r="C9" s="43"/>
      <c r="D9" s="43"/>
      <c r="E9" s="43"/>
      <c r="F9" s="43"/>
      <c r="G9" s="43"/>
    </row>
    <row r="10" spans="1:7">
      <c r="A10" s="42" t="s">
        <v>15</v>
      </c>
      <c r="B10" s="41"/>
      <c r="C10" s="73"/>
      <c r="D10" s="72"/>
      <c r="E10" s="75"/>
      <c r="F10" s="72"/>
      <c r="G10" s="77"/>
    </row>
    <row r="11" spans="1:7">
      <c r="A11" s="40" t="s">
        <v>72</v>
      </c>
      <c r="B11" s="41"/>
      <c r="C11" s="74">
        <v>0</v>
      </c>
      <c r="D11" s="67">
        <v>0</v>
      </c>
      <c r="E11" s="76">
        <v>15000</v>
      </c>
      <c r="F11" s="67">
        <v>0</v>
      </c>
      <c r="G11" s="78">
        <v>30000</v>
      </c>
    </row>
    <row r="12" spans="1:7">
      <c r="A12" s="40" t="s">
        <v>73</v>
      </c>
      <c r="B12" s="41"/>
      <c r="C12" s="74">
        <v>0</v>
      </c>
      <c r="D12" s="67">
        <v>0</v>
      </c>
      <c r="E12" s="76">
        <v>3000</v>
      </c>
      <c r="F12" s="67">
        <v>0</v>
      </c>
      <c r="G12" s="78">
        <v>3000</v>
      </c>
    </row>
    <row r="13" spans="1:7">
      <c r="A13" s="40" t="s">
        <v>74</v>
      </c>
      <c r="B13" s="41"/>
      <c r="C13" s="74">
        <v>6700</v>
      </c>
      <c r="D13" s="67">
        <v>10378.219999999999</v>
      </c>
      <c r="E13" s="76">
        <v>30000</v>
      </c>
      <c r="F13" s="67">
        <v>31466</v>
      </c>
      <c r="G13" s="78">
        <v>7000</v>
      </c>
    </row>
    <row r="14" spans="1:7">
      <c r="A14" s="40" t="s">
        <v>26</v>
      </c>
      <c r="B14" s="41"/>
      <c r="C14" s="74">
        <v>0</v>
      </c>
      <c r="D14" s="67">
        <v>0</v>
      </c>
      <c r="E14" s="76">
        <v>1000</v>
      </c>
      <c r="F14" s="67">
        <v>5418.75</v>
      </c>
      <c r="G14" s="78">
        <v>1000</v>
      </c>
    </row>
    <row r="15" spans="1:7">
      <c r="A15" s="40" t="s">
        <v>34</v>
      </c>
      <c r="B15" s="41"/>
      <c r="C15" s="74">
        <v>2000</v>
      </c>
      <c r="D15" s="67">
        <v>989.1</v>
      </c>
      <c r="E15" s="76">
        <v>2600</v>
      </c>
      <c r="F15" s="67">
        <v>3336.91</v>
      </c>
      <c r="G15" s="78">
        <v>2600</v>
      </c>
    </row>
    <row r="16" spans="1:7">
      <c r="A16" s="40" t="s">
        <v>19</v>
      </c>
      <c r="B16" s="41"/>
      <c r="C16" s="74">
        <v>5000</v>
      </c>
      <c r="D16" s="67">
        <v>514.5</v>
      </c>
      <c r="E16" s="76">
        <v>5000</v>
      </c>
      <c r="F16" s="67">
        <v>0</v>
      </c>
      <c r="G16" s="78">
        <v>5000</v>
      </c>
    </row>
    <row r="17" spans="1:7">
      <c r="A17" s="79" t="s">
        <v>14</v>
      </c>
      <c r="B17" s="70"/>
      <c r="C17" s="71">
        <f>SUM(C11:C16)</f>
        <v>13700</v>
      </c>
      <c r="D17" s="64">
        <f>SUM(D11:D16)</f>
        <v>11881.82</v>
      </c>
      <c r="E17" s="80">
        <f>SUM(E11:E16)</f>
        <v>56600</v>
      </c>
      <c r="F17" s="64">
        <f>SUM(F11:F16)</f>
        <v>40221.660000000003</v>
      </c>
      <c r="G17" s="81">
        <f>SUM(G11:G16)</f>
        <v>48600</v>
      </c>
    </row>
    <row r="18" spans="1:7">
      <c r="A18" s="37"/>
      <c r="B18" s="41"/>
      <c r="C18" s="43"/>
      <c r="D18" s="43"/>
      <c r="E18" s="43"/>
      <c r="F18" s="43"/>
      <c r="G18" s="43"/>
    </row>
    <row r="19" spans="1:7">
      <c r="A19" s="69" t="s">
        <v>42</v>
      </c>
      <c r="B19" s="70"/>
      <c r="C19" s="217">
        <f>C8-C17</f>
        <v>-13700</v>
      </c>
      <c r="D19" s="218">
        <f>D8-D17</f>
        <v>-11881.82</v>
      </c>
      <c r="E19" s="217">
        <f>E8-E17</f>
        <v>-41600</v>
      </c>
      <c r="F19" s="217">
        <f>F8-F17</f>
        <v>-40219.79</v>
      </c>
      <c r="G19" s="219">
        <f>G8-G17</f>
        <v>-18600</v>
      </c>
    </row>
    <row r="20" spans="1:7">
      <c r="A20" s="37"/>
      <c r="B20" s="37"/>
      <c r="C20" s="37"/>
      <c r="D20" s="37"/>
      <c r="E20" s="37"/>
      <c r="F20" s="37"/>
      <c r="G20" s="37"/>
    </row>
    <row r="21" spans="1:7">
      <c r="A21" s="42"/>
      <c r="B21" s="37"/>
      <c r="C21" s="37"/>
      <c r="D21" s="37"/>
      <c r="E21" s="37"/>
      <c r="F21" s="37"/>
      <c r="G21" s="37"/>
    </row>
    <row r="22" spans="1:7">
      <c r="A22" s="40"/>
      <c r="B22" s="37"/>
      <c r="C22" s="37"/>
      <c r="D22" s="37"/>
      <c r="E22" s="37"/>
      <c r="F22" s="37"/>
      <c r="G22" s="37"/>
    </row>
    <row r="23" spans="1:7">
      <c r="A23" s="42"/>
      <c r="B23" s="37"/>
      <c r="C23" s="37"/>
      <c r="D23" s="37"/>
      <c r="E23" s="37"/>
      <c r="F23" s="37"/>
      <c r="G23" s="37"/>
    </row>
    <row r="24" spans="1:7">
      <c r="A24" s="40"/>
      <c r="B24" s="37"/>
      <c r="C24" s="37"/>
      <c r="D24" s="37"/>
      <c r="E24" s="37"/>
      <c r="F24" s="37"/>
      <c r="G24" s="37"/>
    </row>
    <row r="25" spans="1:7">
      <c r="A25" s="42"/>
      <c r="B25" s="37"/>
      <c r="C25" s="37"/>
      <c r="D25" s="37"/>
      <c r="E25" s="37"/>
      <c r="F25" s="37"/>
      <c r="G25" s="37"/>
    </row>
  </sheetData>
  <mergeCells count="3">
    <mergeCell ref="C1:G1"/>
    <mergeCell ref="A3:A4"/>
    <mergeCell ref="B3:B4"/>
  </mergeCells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41" sqref="I41"/>
    </sheetView>
  </sheetViews>
  <sheetFormatPr baseColWidth="10" defaultRowHeight="15" x14ac:dyDescent="0"/>
  <cols>
    <col min="1" max="1" width="28" bestFit="1" customWidth="1"/>
    <col min="2" max="2" width="5" bestFit="1" customWidth="1"/>
    <col min="3" max="4" width="9" customWidth="1"/>
    <col min="5" max="7" width="9.83203125" bestFit="1" customWidth="1"/>
  </cols>
  <sheetData>
    <row r="1" spans="1:7" ht="18">
      <c r="C1" s="150" t="s">
        <v>157</v>
      </c>
    </row>
    <row r="3" spans="1:7" ht="30">
      <c r="A3" s="113"/>
      <c r="B3" s="115"/>
      <c r="C3" s="126" t="s">
        <v>62</v>
      </c>
      <c r="D3" s="128" t="s">
        <v>98</v>
      </c>
      <c r="E3" s="132" t="s">
        <v>49</v>
      </c>
      <c r="F3" s="131" t="s">
        <v>99</v>
      </c>
      <c r="G3" s="132" t="s">
        <v>51</v>
      </c>
    </row>
    <row r="4" spans="1:7">
      <c r="A4" s="114" t="s">
        <v>7</v>
      </c>
      <c r="B4" s="116" t="s">
        <v>1</v>
      </c>
      <c r="C4" s="125"/>
      <c r="D4" s="127"/>
      <c r="E4" s="129"/>
      <c r="F4" s="130"/>
      <c r="G4" s="133"/>
    </row>
    <row r="5" spans="1:7">
      <c r="A5" s="113" t="s">
        <v>100</v>
      </c>
      <c r="B5" s="115"/>
      <c r="C5" s="134">
        <v>0</v>
      </c>
      <c r="D5" s="135">
        <v>0</v>
      </c>
      <c r="E5" s="136">
        <v>0</v>
      </c>
      <c r="F5" s="137">
        <v>0</v>
      </c>
      <c r="G5" s="136">
        <v>30000</v>
      </c>
    </row>
    <row r="6" spans="1:7">
      <c r="A6" s="113" t="s">
        <v>101</v>
      </c>
      <c r="B6" s="117"/>
      <c r="C6" s="134">
        <v>42200</v>
      </c>
      <c r="D6" s="135">
        <v>22500</v>
      </c>
      <c r="E6" s="136">
        <v>120000</v>
      </c>
      <c r="F6" s="137">
        <v>77040.41</v>
      </c>
      <c r="G6" s="136">
        <v>120000</v>
      </c>
    </row>
    <row r="7" spans="1:7">
      <c r="A7" s="113" t="s">
        <v>102</v>
      </c>
      <c r="B7" s="117"/>
      <c r="C7" s="134">
        <v>17800</v>
      </c>
      <c r="D7" s="135">
        <v>11165</v>
      </c>
      <c r="E7" s="136">
        <v>70000</v>
      </c>
      <c r="F7" s="137">
        <v>22927.15</v>
      </c>
      <c r="G7" s="136">
        <v>80000</v>
      </c>
    </row>
    <row r="8" spans="1:7">
      <c r="A8" s="113" t="s">
        <v>115</v>
      </c>
      <c r="B8" s="117">
        <v>1</v>
      </c>
      <c r="C8" s="134">
        <v>0</v>
      </c>
      <c r="D8" s="135">
        <v>0</v>
      </c>
      <c r="E8" s="136">
        <v>0</v>
      </c>
      <c r="F8" s="137">
        <v>71620</v>
      </c>
      <c r="G8" s="136">
        <v>0</v>
      </c>
    </row>
    <row r="9" spans="1:7">
      <c r="A9" s="111" t="s">
        <v>103</v>
      </c>
      <c r="B9" s="118">
        <v>3</v>
      </c>
      <c r="C9" s="134">
        <v>0</v>
      </c>
      <c r="D9" s="135">
        <v>0</v>
      </c>
      <c r="E9" s="136">
        <v>0</v>
      </c>
      <c r="F9" s="137">
        <v>1590</v>
      </c>
      <c r="G9" s="136">
        <v>0</v>
      </c>
    </row>
    <row r="10" spans="1:7">
      <c r="A10" s="113" t="s">
        <v>104</v>
      </c>
      <c r="B10" s="117"/>
      <c r="C10" s="134">
        <v>0</v>
      </c>
      <c r="D10" s="135">
        <v>0</v>
      </c>
      <c r="E10" s="136">
        <v>0</v>
      </c>
      <c r="F10" s="137">
        <v>74.319999999999993</v>
      </c>
      <c r="G10" s="136">
        <v>0</v>
      </c>
    </row>
    <row r="11" spans="1:7">
      <c r="A11" s="111" t="s">
        <v>105</v>
      </c>
      <c r="B11" s="118"/>
      <c r="C11" s="134">
        <v>0</v>
      </c>
      <c r="D11" s="135">
        <v>0</v>
      </c>
      <c r="E11" s="136">
        <v>0</v>
      </c>
      <c r="F11" s="137">
        <v>22589.99</v>
      </c>
      <c r="G11" s="136">
        <v>0</v>
      </c>
    </row>
    <row r="12" spans="1:7">
      <c r="A12" s="111"/>
      <c r="B12" s="118"/>
      <c r="C12" s="134">
        <v>0</v>
      </c>
      <c r="D12" s="135">
        <v>0</v>
      </c>
      <c r="E12" s="136">
        <v>0</v>
      </c>
      <c r="F12" s="137">
        <v>0</v>
      </c>
      <c r="G12" s="136">
        <v>0</v>
      </c>
    </row>
    <row r="13" spans="1:7">
      <c r="A13" s="120" t="s">
        <v>14</v>
      </c>
      <c r="B13" s="121"/>
      <c r="C13" s="138">
        <v>60000</v>
      </c>
      <c r="D13" s="139">
        <v>33665</v>
      </c>
      <c r="E13" s="140">
        <v>190000</v>
      </c>
      <c r="F13" s="141">
        <v>410841.87</v>
      </c>
      <c r="G13" s="140">
        <f>SUM(G5:G12)</f>
        <v>230000</v>
      </c>
    </row>
    <row r="14" spans="1:7">
      <c r="A14" s="113"/>
      <c r="B14" s="117"/>
      <c r="C14" s="142"/>
      <c r="D14" s="143"/>
      <c r="E14" s="144"/>
      <c r="F14" s="145"/>
      <c r="G14" s="144"/>
    </row>
    <row r="15" spans="1:7">
      <c r="A15" s="114" t="s">
        <v>15</v>
      </c>
      <c r="B15" s="119"/>
      <c r="C15" s="142"/>
      <c r="D15" s="143"/>
      <c r="E15" s="144"/>
      <c r="F15" s="145"/>
      <c r="G15" s="144"/>
    </row>
    <row r="16" spans="1:7">
      <c r="A16" s="113" t="s">
        <v>100</v>
      </c>
      <c r="B16" s="117"/>
      <c r="C16" s="134">
        <v>0</v>
      </c>
      <c r="D16" s="135">
        <v>0</v>
      </c>
      <c r="E16" s="136">
        <v>0</v>
      </c>
      <c r="F16" s="137">
        <v>14000</v>
      </c>
      <c r="G16" s="136">
        <v>30000</v>
      </c>
    </row>
    <row r="17" spans="1:7">
      <c r="A17" s="113" t="s">
        <v>106</v>
      </c>
      <c r="B17" s="117"/>
      <c r="C17" s="134">
        <v>0</v>
      </c>
      <c r="D17" s="135">
        <v>0</v>
      </c>
      <c r="E17" s="136">
        <v>0</v>
      </c>
      <c r="F17" s="137">
        <v>0</v>
      </c>
      <c r="G17" s="136">
        <v>0</v>
      </c>
    </row>
    <row r="18" spans="1:7">
      <c r="A18" s="113" t="s">
        <v>107</v>
      </c>
      <c r="B18" s="117"/>
      <c r="C18" s="134">
        <v>0</v>
      </c>
      <c r="D18" s="135">
        <v>0</v>
      </c>
      <c r="E18" s="136">
        <v>0</v>
      </c>
      <c r="F18" s="137">
        <v>0</v>
      </c>
      <c r="G18" s="136">
        <v>1000</v>
      </c>
    </row>
    <row r="19" spans="1:7">
      <c r="A19" s="113" t="s">
        <v>108</v>
      </c>
      <c r="B19" s="117"/>
      <c r="C19" s="134">
        <v>5200</v>
      </c>
      <c r="D19" s="135">
        <v>244</v>
      </c>
      <c r="E19" s="136">
        <v>5000</v>
      </c>
      <c r="F19" s="137">
        <v>1232</v>
      </c>
      <c r="G19" s="136">
        <v>12800</v>
      </c>
    </row>
    <row r="20" spans="1:7">
      <c r="A20" s="113" t="s">
        <v>109</v>
      </c>
      <c r="B20" s="117"/>
      <c r="C20" s="134">
        <v>1000</v>
      </c>
      <c r="D20" s="135">
        <v>0</v>
      </c>
      <c r="E20" s="136">
        <v>1200</v>
      </c>
      <c r="F20" s="137">
        <v>99</v>
      </c>
      <c r="G20" s="136">
        <v>1200</v>
      </c>
    </row>
    <row r="21" spans="1:7">
      <c r="A21" s="113" t="s">
        <v>110</v>
      </c>
      <c r="B21" s="117"/>
      <c r="C21" s="134">
        <v>4000</v>
      </c>
      <c r="D21" s="135">
        <v>0</v>
      </c>
      <c r="E21" s="136">
        <v>5000</v>
      </c>
      <c r="F21" s="137">
        <v>5321.5</v>
      </c>
      <c r="G21" s="136">
        <v>5000</v>
      </c>
    </row>
    <row r="22" spans="1:7">
      <c r="A22" s="113" t="s">
        <v>111</v>
      </c>
      <c r="B22" s="117"/>
      <c r="C22" s="134">
        <v>1000</v>
      </c>
      <c r="D22" s="135">
        <v>637</v>
      </c>
      <c r="E22" s="136">
        <v>2000</v>
      </c>
      <c r="F22" s="137">
        <v>1893.82</v>
      </c>
      <c r="G22" s="136">
        <v>4800</v>
      </c>
    </row>
    <row r="23" spans="1:7">
      <c r="A23" s="113" t="s">
        <v>112</v>
      </c>
      <c r="B23" s="117"/>
      <c r="C23" s="134">
        <v>17800</v>
      </c>
      <c r="D23" s="135">
        <v>11165</v>
      </c>
      <c r="E23" s="144"/>
      <c r="F23" s="137">
        <v>54379</v>
      </c>
      <c r="G23" s="136">
        <v>0</v>
      </c>
    </row>
    <row r="24" spans="1:7">
      <c r="A24" s="113" t="s">
        <v>105</v>
      </c>
      <c r="B24" s="117"/>
      <c r="C24" s="134">
        <v>0</v>
      </c>
      <c r="D24" s="135">
        <v>0</v>
      </c>
      <c r="E24" s="136">
        <v>70000</v>
      </c>
      <c r="F24" s="137">
        <v>75270</v>
      </c>
      <c r="G24" s="136">
        <v>80000</v>
      </c>
    </row>
    <row r="25" spans="1:7">
      <c r="A25" s="113" t="s">
        <v>113</v>
      </c>
      <c r="B25" s="117"/>
      <c r="C25" s="134">
        <v>0</v>
      </c>
      <c r="D25" s="135">
        <v>0</v>
      </c>
      <c r="E25" s="136">
        <v>0</v>
      </c>
      <c r="F25" s="137">
        <v>7651</v>
      </c>
      <c r="G25" s="136">
        <v>6000</v>
      </c>
    </row>
    <row r="26" spans="1:7">
      <c r="A26" s="113" t="s">
        <v>114</v>
      </c>
      <c r="B26" s="117">
        <v>4</v>
      </c>
      <c r="C26" s="134">
        <v>0</v>
      </c>
      <c r="D26" s="135">
        <v>0</v>
      </c>
      <c r="E26" s="136">
        <v>4000</v>
      </c>
      <c r="F26" s="137">
        <v>250</v>
      </c>
      <c r="G26" s="136">
        <v>4000</v>
      </c>
    </row>
    <row r="27" spans="1:7">
      <c r="A27" s="113" t="s">
        <v>116</v>
      </c>
      <c r="B27" s="117">
        <v>2</v>
      </c>
      <c r="C27" s="134">
        <v>0</v>
      </c>
      <c r="D27" s="135">
        <v>0</v>
      </c>
      <c r="E27" s="136">
        <v>0</v>
      </c>
      <c r="F27" s="137">
        <v>0</v>
      </c>
      <c r="G27" s="136">
        <v>3400</v>
      </c>
    </row>
    <row r="28" spans="1:7">
      <c r="A28" s="113"/>
      <c r="B28" s="115"/>
      <c r="C28" s="142"/>
      <c r="D28" s="143"/>
      <c r="E28" s="144"/>
      <c r="F28" s="145"/>
      <c r="G28" s="144"/>
    </row>
    <row r="29" spans="1:7">
      <c r="A29" s="120" t="s">
        <v>14</v>
      </c>
      <c r="B29" s="122"/>
      <c r="C29" s="138">
        <v>29000</v>
      </c>
      <c r="D29" s="139">
        <v>12046</v>
      </c>
      <c r="E29" s="140">
        <v>87200</v>
      </c>
      <c r="F29" s="141">
        <v>247263.57</v>
      </c>
      <c r="G29" s="140">
        <f>SUM(G16:G27)</f>
        <v>148200</v>
      </c>
    </row>
    <row r="30" spans="1:7">
      <c r="A30" s="114"/>
      <c r="B30" s="116"/>
      <c r="C30" s="146"/>
      <c r="D30" s="108"/>
      <c r="E30" s="108"/>
      <c r="F30" s="108"/>
      <c r="G30" s="109"/>
    </row>
    <row r="31" spans="1:7">
      <c r="A31" s="123" t="s">
        <v>42</v>
      </c>
      <c r="B31" s="124"/>
      <c r="C31" s="138">
        <v>31000</v>
      </c>
      <c r="D31" s="140">
        <v>21619</v>
      </c>
      <c r="E31" s="140">
        <v>102800</v>
      </c>
      <c r="F31" s="138">
        <v>163578.29999999999</v>
      </c>
      <c r="G31" s="140">
        <f>G13-G29</f>
        <v>81800</v>
      </c>
    </row>
    <row r="32" spans="1:7">
      <c r="A32" s="111"/>
      <c r="B32" s="111"/>
      <c r="C32" s="111"/>
      <c r="D32" s="111"/>
      <c r="E32" s="111"/>
      <c r="F32" s="111"/>
      <c r="G32" s="111"/>
    </row>
    <row r="33" spans="1:7">
      <c r="A33" s="111"/>
      <c r="B33" s="111"/>
      <c r="C33" s="111"/>
      <c r="D33" s="111"/>
      <c r="E33" s="111"/>
      <c r="F33" s="111"/>
      <c r="G33" s="111"/>
    </row>
    <row r="34" spans="1:7">
      <c r="A34" s="242" t="s">
        <v>185</v>
      </c>
      <c r="B34" s="242"/>
      <c r="C34" s="242"/>
      <c r="D34" s="242"/>
      <c r="E34" s="242"/>
      <c r="F34" s="242"/>
      <c r="G34" s="242"/>
    </row>
    <row r="35" spans="1:7" ht="28" customHeight="1">
      <c r="A35" s="242" t="s">
        <v>186</v>
      </c>
      <c r="B35" s="242"/>
      <c r="C35" s="242"/>
      <c r="D35" s="242"/>
      <c r="E35" s="242"/>
      <c r="F35" s="242"/>
      <c r="G35" s="242"/>
    </row>
    <row r="36" spans="1:7">
      <c r="A36" s="241" t="s">
        <v>187</v>
      </c>
      <c r="B36" s="241"/>
      <c r="C36" s="241"/>
      <c r="D36" s="241"/>
      <c r="E36" s="241"/>
      <c r="F36" s="241"/>
      <c r="G36" s="241"/>
    </row>
    <row r="37" spans="1:7">
      <c r="A37" s="241" t="s">
        <v>188</v>
      </c>
      <c r="B37" s="241"/>
      <c r="C37" s="241"/>
      <c r="D37" s="241"/>
      <c r="E37" s="241"/>
      <c r="F37" s="241"/>
    </row>
  </sheetData>
  <mergeCells count="4">
    <mergeCell ref="A37:F37"/>
    <mergeCell ref="A34:G34"/>
    <mergeCell ref="A35:G35"/>
    <mergeCell ref="A36:G36"/>
  </mergeCells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0"/>
  <sheetViews>
    <sheetView workbookViewId="0">
      <selection activeCell="J37" sqref="J37"/>
    </sheetView>
  </sheetViews>
  <sheetFormatPr baseColWidth="10" defaultRowHeight="15" x14ac:dyDescent="0"/>
  <cols>
    <col min="1" max="1" width="21.83203125" customWidth="1"/>
    <col min="2" max="2" width="4.1640625" customWidth="1"/>
    <col min="3" max="3" width="10.1640625" bestFit="1" customWidth="1"/>
    <col min="4" max="4" width="9.83203125" bestFit="1" customWidth="1"/>
    <col min="17" max="39" width="2.6640625" bestFit="1" customWidth="1"/>
    <col min="40" max="47" width="2.83203125" bestFit="1" customWidth="1"/>
  </cols>
  <sheetData>
    <row r="1" spans="1:7" ht="18">
      <c r="C1" s="243" t="s">
        <v>0</v>
      </c>
      <c r="D1" s="243"/>
      <c r="E1" s="243"/>
      <c r="F1" s="243"/>
      <c r="G1" s="243"/>
    </row>
    <row r="3" spans="1:7" ht="30">
      <c r="B3" s="1" t="s">
        <v>1</v>
      </c>
      <c r="C3" s="51" t="s">
        <v>2</v>
      </c>
      <c r="D3" s="55" t="s">
        <v>3</v>
      </c>
      <c r="E3" s="51" t="s">
        <v>4</v>
      </c>
      <c r="F3" s="55" t="s">
        <v>5</v>
      </c>
      <c r="G3" s="51" t="s">
        <v>6</v>
      </c>
    </row>
    <row r="4" spans="1:7">
      <c r="A4" s="2" t="s">
        <v>7</v>
      </c>
      <c r="B4" s="1"/>
      <c r="C4" s="49"/>
      <c r="D4" s="52"/>
      <c r="E4" s="49"/>
      <c r="F4" s="52"/>
      <c r="G4" s="49"/>
    </row>
    <row r="5" spans="1:7">
      <c r="A5" s="3" t="s">
        <v>8</v>
      </c>
      <c r="B5" s="4"/>
      <c r="C5" s="50">
        <v>0</v>
      </c>
      <c r="D5" s="53">
        <v>45.04</v>
      </c>
      <c r="E5" s="50">
        <v>0</v>
      </c>
      <c r="F5" s="53">
        <f>11.73+11.84</f>
        <v>23.57</v>
      </c>
      <c r="G5" s="50">
        <v>0</v>
      </c>
    </row>
    <row r="6" spans="1:7">
      <c r="A6" s="3" t="s">
        <v>9</v>
      </c>
      <c r="B6" s="4"/>
      <c r="C6" s="50">
        <v>0</v>
      </c>
      <c r="D6" s="53">
        <v>2119.3200000000002</v>
      </c>
      <c r="E6" s="50">
        <v>0</v>
      </c>
      <c r="F6" s="53">
        <v>0</v>
      </c>
      <c r="G6" s="50">
        <v>0</v>
      </c>
    </row>
    <row r="7" spans="1:7">
      <c r="A7" s="3" t="s">
        <v>10</v>
      </c>
      <c r="B7" s="4"/>
      <c r="C7" s="50">
        <v>0</v>
      </c>
      <c r="D7" s="53">
        <v>37800</v>
      </c>
      <c r="E7" s="50">
        <v>0</v>
      </c>
      <c r="F7" s="53">
        <v>0</v>
      </c>
      <c r="G7" s="50">
        <v>0</v>
      </c>
    </row>
    <row r="8" spans="1:7">
      <c r="A8" s="5" t="s">
        <v>11</v>
      </c>
      <c r="B8" s="6"/>
      <c r="C8" s="7">
        <v>0</v>
      </c>
      <c r="D8" s="8">
        <v>5035</v>
      </c>
      <c r="E8" s="7">
        <v>15000</v>
      </c>
      <c r="F8" s="8">
        <f>40+250+350+430+530+430+690+570+360+880+360+450+880+450+450+450+1690+380+1695</f>
        <v>11335</v>
      </c>
      <c r="G8" s="7">
        <v>10000</v>
      </c>
    </row>
    <row r="9" spans="1:7">
      <c r="A9" s="9" t="s">
        <v>12</v>
      </c>
      <c r="B9" s="6"/>
      <c r="C9" s="7">
        <v>10000</v>
      </c>
      <c r="D9" s="8">
        <v>0</v>
      </c>
      <c r="E9" s="7">
        <v>0</v>
      </c>
      <c r="F9" s="8">
        <v>0</v>
      </c>
      <c r="G9" s="7">
        <v>0</v>
      </c>
    </row>
    <row r="10" spans="1:7">
      <c r="A10" s="9" t="s">
        <v>13</v>
      </c>
      <c r="B10" s="6"/>
      <c r="C10" s="7">
        <v>5000</v>
      </c>
      <c r="D10" s="8">
        <v>0</v>
      </c>
      <c r="E10" s="7">
        <v>0</v>
      </c>
      <c r="F10" s="8">
        <v>0</v>
      </c>
      <c r="G10" s="7">
        <v>0</v>
      </c>
    </row>
    <row r="11" spans="1:7">
      <c r="A11" s="10" t="s">
        <v>14</v>
      </c>
      <c r="B11" s="11"/>
      <c r="C11" s="35">
        <f>SUM(C8:C10)</f>
        <v>15000</v>
      </c>
      <c r="D11" s="54">
        <f>SUM(D5:D10)</f>
        <v>44999.360000000001</v>
      </c>
      <c r="E11" s="35">
        <f>SUM(E8:E10)</f>
        <v>15000</v>
      </c>
      <c r="F11" s="54">
        <f>SUM(F5:F10)</f>
        <v>11358.57</v>
      </c>
      <c r="G11" s="35">
        <f>SUM(G5:G10)</f>
        <v>10000</v>
      </c>
    </row>
    <row r="12" spans="1:7">
      <c r="B12" s="6"/>
    </row>
    <row r="13" spans="1:7">
      <c r="A13" s="13" t="s">
        <v>15</v>
      </c>
      <c r="B13" s="6"/>
      <c r="C13" s="14"/>
      <c r="D13" s="15"/>
      <c r="E13" s="14"/>
      <c r="F13" s="15"/>
      <c r="G13" s="14"/>
    </row>
    <row r="14" spans="1:7">
      <c r="A14" s="9" t="s">
        <v>16</v>
      </c>
      <c r="B14" s="6"/>
      <c r="C14" s="7">
        <v>6000</v>
      </c>
      <c r="D14" s="8">
        <v>0</v>
      </c>
      <c r="E14" s="7">
        <v>0</v>
      </c>
      <c r="F14" s="8">
        <v>0</v>
      </c>
      <c r="G14" s="7">
        <v>0</v>
      </c>
    </row>
    <row r="15" spans="1:7">
      <c r="A15" t="s">
        <v>17</v>
      </c>
      <c r="B15" s="6"/>
      <c r="C15" s="7">
        <v>15000</v>
      </c>
      <c r="D15" s="8">
        <v>0</v>
      </c>
      <c r="E15" s="7">
        <v>0</v>
      </c>
      <c r="F15" s="8">
        <v>0</v>
      </c>
      <c r="G15" s="7">
        <v>0</v>
      </c>
    </row>
    <row r="16" spans="1:7">
      <c r="A16" s="9" t="s">
        <v>18</v>
      </c>
      <c r="B16" s="6"/>
      <c r="C16" s="7">
        <v>10000</v>
      </c>
      <c r="D16" s="8">
        <v>0</v>
      </c>
      <c r="E16" s="7">
        <v>0</v>
      </c>
      <c r="F16" s="8">
        <v>0</v>
      </c>
      <c r="G16" s="7">
        <v>0</v>
      </c>
    </row>
    <row r="17" spans="1:7">
      <c r="A17" s="5" t="s">
        <v>19</v>
      </c>
      <c r="B17" s="6"/>
      <c r="C17" s="7">
        <v>3000</v>
      </c>
      <c r="D17" s="8">
        <v>10284</v>
      </c>
      <c r="E17" s="7">
        <v>10000</v>
      </c>
      <c r="F17" s="8">
        <f>524.5+72+80+222.4+987.33+461.25</f>
        <v>2347.48</v>
      </c>
      <c r="G17" s="7">
        <v>10000</v>
      </c>
    </row>
    <row r="18" spans="1:7">
      <c r="A18" s="9" t="s">
        <v>20</v>
      </c>
      <c r="B18" s="6"/>
      <c r="C18" s="7">
        <v>0</v>
      </c>
      <c r="D18" s="8">
        <v>2600</v>
      </c>
      <c r="E18" s="7">
        <v>0</v>
      </c>
      <c r="F18" s="8">
        <v>0</v>
      </c>
      <c r="G18" s="7">
        <v>0</v>
      </c>
    </row>
    <row r="19" spans="1:7">
      <c r="A19" s="5" t="s">
        <v>21</v>
      </c>
      <c r="B19" s="6">
        <v>5</v>
      </c>
      <c r="C19" s="7">
        <v>0</v>
      </c>
      <c r="D19" s="8">
        <v>5716.81</v>
      </c>
      <c r="E19" s="7">
        <f>2000+5000</f>
        <v>7000</v>
      </c>
      <c r="F19" s="8">
        <f>315.8+446.85+953.28+1483.5+2442.5+87.6+628+20+160+199.9</f>
        <v>6737.43</v>
      </c>
      <c r="G19" s="7">
        <f>2000+5000+5000</f>
        <v>12000</v>
      </c>
    </row>
    <row r="20" spans="1:7">
      <c r="A20" s="9" t="s">
        <v>22</v>
      </c>
      <c r="B20" s="6"/>
      <c r="C20" s="7">
        <v>0</v>
      </c>
      <c r="D20" s="8">
        <v>0</v>
      </c>
      <c r="E20" s="7">
        <v>30000</v>
      </c>
      <c r="F20" s="8">
        <v>30247</v>
      </c>
      <c r="G20" s="7">
        <v>30000</v>
      </c>
    </row>
    <row r="21" spans="1:7">
      <c r="A21" s="9" t="s">
        <v>23</v>
      </c>
      <c r="B21" s="6"/>
      <c r="C21" s="7">
        <v>0</v>
      </c>
      <c r="D21" s="8">
        <v>3728.9</v>
      </c>
      <c r="E21" s="7">
        <v>0</v>
      </c>
      <c r="F21" s="8">
        <v>0</v>
      </c>
      <c r="G21" s="7">
        <v>0</v>
      </c>
    </row>
    <row r="22" spans="1:7">
      <c r="A22" s="9" t="s">
        <v>9</v>
      </c>
      <c r="C22" s="7">
        <v>0</v>
      </c>
      <c r="D22" s="8">
        <v>9500</v>
      </c>
      <c r="E22" s="7">
        <v>0</v>
      </c>
      <c r="F22" s="8">
        <v>0</v>
      </c>
      <c r="G22" s="7">
        <v>0</v>
      </c>
    </row>
    <row r="23" spans="1:7">
      <c r="A23" s="5" t="s">
        <v>24</v>
      </c>
      <c r="B23" s="6">
        <v>1</v>
      </c>
      <c r="C23" s="7">
        <v>0</v>
      </c>
      <c r="D23" s="8">
        <v>1231.5</v>
      </c>
      <c r="E23" s="7">
        <v>2400</v>
      </c>
      <c r="F23" s="8">
        <v>3713.5</v>
      </c>
      <c r="G23" s="7">
        <v>0</v>
      </c>
    </row>
    <row r="24" spans="1:7">
      <c r="A24" s="5" t="s">
        <v>25</v>
      </c>
      <c r="B24" s="6"/>
      <c r="C24" s="16">
        <v>0</v>
      </c>
      <c r="D24" s="17">
        <v>164</v>
      </c>
      <c r="E24" s="16">
        <v>0</v>
      </c>
      <c r="F24" s="17">
        <v>0</v>
      </c>
      <c r="G24" s="16">
        <v>0</v>
      </c>
    </row>
    <row r="25" spans="1:7">
      <c r="A25" s="9" t="s">
        <v>26</v>
      </c>
      <c r="B25" s="6"/>
      <c r="C25" s="16">
        <v>0</v>
      </c>
      <c r="D25" s="17">
        <v>0</v>
      </c>
      <c r="E25" s="16">
        <v>5000</v>
      </c>
      <c r="F25" s="17">
        <v>0</v>
      </c>
      <c r="G25" s="16">
        <v>5000</v>
      </c>
    </row>
    <row r="26" spans="1:7">
      <c r="A26" s="5" t="s">
        <v>27</v>
      </c>
      <c r="B26" s="6">
        <v>2</v>
      </c>
      <c r="C26" s="7">
        <v>1600</v>
      </c>
      <c r="D26" s="8">
        <v>1395</v>
      </c>
      <c r="E26" s="7">
        <v>1860</v>
      </c>
      <c r="F26" s="8">
        <f>205+155+155+155+155+155+300+300+300+825+300</f>
        <v>3005</v>
      </c>
      <c r="G26" s="7">
        <v>3600</v>
      </c>
    </row>
    <row r="27" spans="1:7">
      <c r="A27" s="9" t="s">
        <v>28</v>
      </c>
      <c r="B27" s="6">
        <v>4</v>
      </c>
      <c r="C27" s="7">
        <v>0</v>
      </c>
      <c r="D27" s="8">
        <v>2234.3000000000002</v>
      </c>
      <c r="E27" s="7">
        <v>3000</v>
      </c>
      <c r="F27" s="8">
        <f>99.9+329+117.8</f>
        <v>546.69999999999993</v>
      </c>
      <c r="G27" s="7">
        <v>6000</v>
      </c>
    </row>
    <row r="28" spans="1:7">
      <c r="A28" s="5" t="s">
        <v>29</v>
      </c>
      <c r="B28" s="6">
        <v>3</v>
      </c>
      <c r="C28" s="7">
        <v>14000</v>
      </c>
      <c r="D28" s="8">
        <v>13790</v>
      </c>
      <c r="E28" s="7">
        <v>24000</v>
      </c>
      <c r="F28" s="8">
        <f>3440+4050+480+1440+2700+299+1480+720+2800+510+680+2520+720+1050+1140+1410+900+40+1380+1500+700+40+59+89.9+125+129+140+201+219+219+224+245+280+760+130+213+218.14+224+59.9+155+199.5+470+119+1200</f>
        <v>35678.44</v>
      </c>
      <c r="G28" s="7">
        <v>28000</v>
      </c>
    </row>
    <row r="29" spans="1:7">
      <c r="A29" s="5" t="s">
        <v>30</v>
      </c>
      <c r="B29" s="6">
        <v>6</v>
      </c>
      <c r="C29" s="7">
        <v>0</v>
      </c>
      <c r="D29" s="8">
        <v>7000</v>
      </c>
      <c r="E29" s="7">
        <v>10000</v>
      </c>
      <c r="F29" s="8">
        <f>500+2000+500+500+2878.06</f>
        <v>6378.0599999999995</v>
      </c>
      <c r="G29" s="7">
        <v>10000</v>
      </c>
    </row>
    <row r="30" spans="1:7">
      <c r="A30" s="5" t="s">
        <v>31</v>
      </c>
      <c r="B30" s="6"/>
      <c r="C30" s="7">
        <v>6500</v>
      </c>
      <c r="D30" s="8">
        <v>0</v>
      </c>
      <c r="E30" s="7">
        <v>0</v>
      </c>
      <c r="F30" s="8">
        <v>0</v>
      </c>
      <c r="G30" s="7">
        <v>2000</v>
      </c>
    </row>
    <row r="31" spans="1:7">
      <c r="A31" s="5" t="s">
        <v>32</v>
      </c>
      <c r="B31" s="6"/>
      <c r="C31" s="7">
        <v>8000</v>
      </c>
      <c r="D31" s="8">
        <v>2000</v>
      </c>
      <c r="E31" s="7">
        <v>10000</v>
      </c>
      <c r="F31" s="8">
        <v>10000</v>
      </c>
      <c r="G31" s="7">
        <v>10000</v>
      </c>
    </row>
    <row r="32" spans="1:7">
      <c r="A32" s="5" t="s">
        <v>33</v>
      </c>
      <c r="B32" s="6"/>
      <c r="C32" s="7">
        <v>1000</v>
      </c>
      <c r="D32" s="8">
        <v>0</v>
      </c>
      <c r="E32" s="7">
        <v>1000</v>
      </c>
      <c r="F32" s="8">
        <v>0</v>
      </c>
      <c r="G32" s="7">
        <v>1000</v>
      </c>
    </row>
    <row r="33" spans="1:7">
      <c r="A33" s="5" t="s">
        <v>34</v>
      </c>
      <c r="B33" s="6"/>
      <c r="C33" s="7">
        <v>0</v>
      </c>
      <c r="D33" s="8">
        <v>220</v>
      </c>
      <c r="E33" s="7">
        <v>0</v>
      </c>
      <c r="F33" s="8">
        <f>560+173</f>
        <v>733</v>
      </c>
      <c r="G33" s="7">
        <v>1800</v>
      </c>
    </row>
    <row r="34" spans="1:7">
      <c r="A34" s="5" t="s">
        <v>35</v>
      </c>
      <c r="B34" s="6"/>
      <c r="C34" s="7">
        <v>0</v>
      </c>
      <c r="D34" s="8">
        <v>908</v>
      </c>
      <c r="E34" s="7">
        <v>0</v>
      </c>
      <c r="F34" s="8">
        <f>1300+506.58</f>
        <v>1806.58</v>
      </c>
      <c r="G34" s="7">
        <v>1500</v>
      </c>
    </row>
    <row r="35" spans="1:7">
      <c r="A35" s="5" t="s">
        <v>36</v>
      </c>
      <c r="B35" s="6">
        <v>7</v>
      </c>
      <c r="C35" s="7">
        <v>0</v>
      </c>
      <c r="D35" s="8">
        <v>0</v>
      </c>
      <c r="E35" s="7">
        <v>0</v>
      </c>
      <c r="F35" s="8">
        <v>1509</v>
      </c>
      <c r="G35" s="7">
        <v>300</v>
      </c>
    </row>
    <row r="36" spans="1:7">
      <c r="A36" s="5" t="s">
        <v>37</v>
      </c>
      <c r="B36" s="6"/>
      <c r="C36" s="7">
        <v>0</v>
      </c>
      <c r="D36" s="8">
        <v>0</v>
      </c>
      <c r="E36" s="7">
        <v>0</v>
      </c>
      <c r="F36" s="8">
        <f>289.67+44.03+43.72+472+59.9+221.42+46.06+45.9+46.3+44.62+43.85+44.2+43.25+42.54</f>
        <v>1487.4599999999998</v>
      </c>
      <c r="G36" s="7">
        <v>0</v>
      </c>
    </row>
    <row r="37" spans="1:7">
      <c r="A37" s="9" t="s">
        <v>38</v>
      </c>
      <c r="B37" s="6"/>
      <c r="C37" s="7">
        <v>0</v>
      </c>
      <c r="D37" s="8">
        <v>1001</v>
      </c>
      <c r="E37" s="7">
        <v>0</v>
      </c>
      <c r="F37" s="8">
        <f>49+415</f>
        <v>464</v>
      </c>
      <c r="G37" s="7">
        <v>500</v>
      </c>
    </row>
    <row r="38" spans="1:7">
      <c r="A38" s="9" t="s">
        <v>39</v>
      </c>
      <c r="B38" s="6"/>
      <c r="C38" s="7">
        <v>0</v>
      </c>
      <c r="D38" s="8">
        <v>0</v>
      </c>
      <c r="E38" s="7">
        <v>0</v>
      </c>
      <c r="F38" s="8">
        <v>0</v>
      </c>
      <c r="G38" s="7">
        <v>10000</v>
      </c>
    </row>
    <row r="39" spans="1:7">
      <c r="A39" s="9" t="s">
        <v>40</v>
      </c>
      <c r="B39" s="6"/>
      <c r="C39" s="7">
        <v>0</v>
      </c>
      <c r="D39" s="8">
        <v>0</v>
      </c>
      <c r="E39" s="7">
        <v>0</v>
      </c>
      <c r="F39" s="8">
        <v>1000</v>
      </c>
      <c r="G39" s="7">
        <v>2500</v>
      </c>
    </row>
    <row r="40" spans="1:7">
      <c r="A40" s="9" t="s">
        <v>41</v>
      </c>
      <c r="B40" s="6"/>
      <c r="C40" s="7">
        <v>0</v>
      </c>
      <c r="D40" s="8">
        <v>0</v>
      </c>
      <c r="E40" s="7">
        <v>96000</v>
      </c>
      <c r="F40" s="8">
        <f>7754+48750+42988+15250+12800</f>
        <v>127542</v>
      </c>
      <c r="G40" s="7">
        <v>0</v>
      </c>
    </row>
    <row r="41" spans="1:7">
      <c r="A41" s="10" t="s">
        <v>14</v>
      </c>
      <c r="B41" s="11"/>
      <c r="C41" s="35">
        <f t="shared" ref="C41:G41" si="0">SUM(C14:C40)</f>
        <v>65100</v>
      </c>
      <c r="D41" s="54">
        <f t="shared" si="0"/>
        <v>61773.510000000009</v>
      </c>
      <c r="E41" s="35">
        <f t="shared" si="0"/>
        <v>200260</v>
      </c>
      <c r="F41" s="54">
        <f t="shared" si="0"/>
        <v>233195.65000000002</v>
      </c>
      <c r="G41" s="35">
        <f t="shared" si="0"/>
        <v>134200</v>
      </c>
    </row>
    <row r="42" spans="1:7">
      <c r="B42" s="6"/>
    </row>
    <row r="43" spans="1:7">
      <c r="A43" s="10" t="s">
        <v>42</v>
      </c>
      <c r="B43" s="11"/>
      <c r="C43" s="216">
        <f>C11-C41</f>
        <v>-50100</v>
      </c>
      <c r="D43" s="220">
        <f>D11-D41</f>
        <v>-16774.150000000009</v>
      </c>
      <c r="E43" s="216">
        <f>E11-E41</f>
        <v>-185260</v>
      </c>
      <c r="F43" s="216">
        <f>F11-F41</f>
        <v>-221837.08000000002</v>
      </c>
      <c r="G43" s="216">
        <f>G11-G41</f>
        <v>-124200</v>
      </c>
    </row>
    <row r="45" spans="1:7">
      <c r="A45" s="221" t="s">
        <v>199</v>
      </c>
    </row>
    <row r="46" spans="1:7">
      <c r="A46" t="s">
        <v>200</v>
      </c>
    </row>
    <row r="47" spans="1:7">
      <c r="A47" s="222" t="s">
        <v>201</v>
      </c>
      <c r="B47" s="222"/>
      <c r="C47" s="222"/>
    </row>
    <row r="48" spans="1:7">
      <c r="A48" s="223" t="s">
        <v>202</v>
      </c>
      <c r="B48" s="222"/>
      <c r="C48" s="222"/>
    </row>
    <row r="49" spans="1:46">
      <c r="A49" s="222" t="s">
        <v>203</v>
      </c>
      <c r="B49" s="222"/>
      <c r="C49" s="222"/>
    </row>
    <row r="50" spans="1:46" ht="15" customHeight="1">
      <c r="A50" s="222" t="s">
        <v>204</v>
      </c>
      <c r="B50" s="222"/>
      <c r="C50" s="222"/>
    </row>
    <row r="51" spans="1:46">
      <c r="A51" s="223" t="s">
        <v>205</v>
      </c>
      <c r="B51" s="222"/>
      <c r="C51" s="222"/>
    </row>
    <row r="52" spans="1:46">
      <c r="A52" s="222"/>
      <c r="B52" s="222"/>
      <c r="C52" s="222"/>
    </row>
    <row r="53" spans="1:46">
      <c r="A53" s="222"/>
      <c r="B53" s="222"/>
      <c r="C53" s="222"/>
    </row>
    <row r="54" spans="1:46">
      <c r="A54" s="223"/>
      <c r="B54" s="222"/>
      <c r="C54" s="222"/>
    </row>
    <row r="55" spans="1:46">
      <c r="A55" s="222"/>
      <c r="B55" s="222"/>
      <c r="C55" s="222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</row>
    <row r="56" spans="1:46">
      <c r="A56" s="222"/>
      <c r="B56" s="222"/>
      <c r="C56" s="222"/>
      <c r="Q56" s="213"/>
      <c r="R56" s="213"/>
      <c r="S56" s="213"/>
      <c r="T56" s="213"/>
      <c r="U56" s="213"/>
      <c r="V56" s="213"/>
      <c r="W56" s="213"/>
      <c r="X56" s="213"/>
      <c r="Y56" s="213"/>
      <c r="Z56" s="213"/>
      <c r="AA56" s="213"/>
      <c r="AB56" s="213"/>
      <c r="AC56" s="213"/>
      <c r="AD56" s="213"/>
      <c r="AE56" s="213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</row>
    <row r="57" spans="1:46">
      <c r="A57" s="223"/>
      <c r="B57" s="222"/>
      <c r="C57" s="222"/>
      <c r="K57" t="s">
        <v>153</v>
      </c>
      <c r="Q57" s="213"/>
      <c r="R57" s="213"/>
      <c r="S57" s="213"/>
      <c r="T57" s="213"/>
      <c r="U57" s="213"/>
      <c r="V57" s="213"/>
      <c r="W57" s="213"/>
      <c r="X57" s="213"/>
      <c r="Y57" s="213"/>
      <c r="Z57" s="213"/>
      <c r="AA57" s="213"/>
      <c r="AB57" s="213"/>
      <c r="AC57" s="213"/>
      <c r="AD57" s="213"/>
      <c r="AE57" s="213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</row>
    <row r="58" spans="1:46">
      <c r="A58" s="222"/>
      <c r="B58" s="222"/>
      <c r="C58" s="222"/>
      <c r="Q58" s="213"/>
      <c r="R58" s="213"/>
      <c r="S58" s="213"/>
      <c r="T58" s="213"/>
      <c r="U58" s="213"/>
      <c r="V58" s="213"/>
      <c r="W58" s="213"/>
      <c r="X58" s="213"/>
      <c r="Y58" s="213"/>
      <c r="Z58" s="213"/>
      <c r="AA58" s="213"/>
      <c r="AB58" s="213"/>
      <c r="AC58" s="213"/>
      <c r="AD58" s="213"/>
      <c r="AE58" s="213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</row>
    <row r="59" spans="1:46">
      <c r="A59" s="222"/>
      <c r="B59" s="222"/>
      <c r="C59" s="222"/>
      <c r="Q59" s="213"/>
      <c r="R59" s="213"/>
      <c r="S59" s="213"/>
      <c r="T59" s="213"/>
      <c r="U59" s="213"/>
      <c r="V59" s="213"/>
      <c r="W59" s="213"/>
      <c r="X59" s="213"/>
      <c r="Y59" s="213"/>
      <c r="Z59" s="213"/>
      <c r="AA59" s="213"/>
      <c r="AB59" s="213"/>
      <c r="AC59" s="213"/>
      <c r="AD59" s="213"/>
      <c r="AE59" s="213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</row>
    <row r="60" spans="1:46">
      <c r="A60" s="223"/>
      <c r="B60" s="222"/>
      <c r="C60" s="222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</row>
    <row r="61" spans="1:46">
      <c r="A61" s="222"/>
      <c r="B61" s="222"/>
      <c r="C61" s="222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  <c r="AE61" s="213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</row>
    <row r="62" spans="1:46">
      <c r="A62" s="222"/>
      <c r="B62" s="222"/>
      <c r="C62" s="222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</row>
    <row r="63" spans="1:46" s="19" customFormat="1">
      <c r="A63" s="223"/>
      <c r="B63" s="223"/>
      <c r="C63" s="22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  <c r="AE63" s="213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</row>
    <row r="64" spans="1:46">
      <c r="A64" s="222"/>
      <c r="B64" s="222"/>
      <c r="C64" s="222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  <c r="AE64" s="213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</row>
    <row r="65" spans="17:46">
      <c r="Q65" s="213"/>
      <c r="R65" s="213"/>
      <c r="S65" s="213"/>
      <c r="T65" s="213"/>
      <c r="U65" s="213"/>
      <c r="V65" s="213"/>
      <c r="W65" s="213"/>
      <c r="X65" s="213"/>
      <c r="Y65" s="213"/>
      <c r="Z65" s="213"/>
      <c r="AA65" s="213"/>
      <c r="AB65" s="213"/>
      <c r="AC65" s="213"/>
      <c r="AD65" s="213"/>
      <c r="AE65" s="213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</row>
    <row r="66" spans="17:46"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  <c r="AE66" s="213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</row>
    <row r="67" spans="17:46">
      <c r="Q67" s="213"/>
      <c r="R67" s="213"/>
      <c r="S67" s="213"/>
      <c r="T67" s="213"/>
      <c r="U67" s="213"/>
      <c r="V67" s="213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</row>
    <row r="68" spans="17:46"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  <c r="AE68" s="213"/>
      <c r="AF68" s="213"/>
      <c r="AG68" s="213"/>
      <c r="AH68" s="213"/>
      <c r="AI68" s="213"/>
      <c r="AJ68" s="213"/>
      <c r="AK68" s="213"/>
      <c r="AL68" s="213"/>
      <c r="AM68" s="213"/>
      <c r="AN68" s="213"/>
      <c r="AO68" s="213"/>
      <c r="AP68" s="213"/>
      <c r="AQ68" s="213"/>
      <c r="AR68" s="213"/>
      <c r="AS68" s="213"/>
      <c r="AT68" s="213"/>
    </row>
    <row r="69" spans="17:46">
      <c r="Q69" s="213"/>
      <c r="R69" s="213"/>
      <c r="S69" s="213"/>
      <c r="T69" s="213"/>
      <c r="U69" s="213"/>
      <c r="V69" s="213"/>
      <c r="W69" s="213"/>
      <c r="X69" s="213"/>
      <c r="Y69" s="213"/>
      <c r="Z69" s="213"/>
      <c r="AA69" s="213"/>
      <c r="AB69" s="213"/>
      <c r="AC69" s="213"/>
      <c r="AD69" s="213"/>
      <c r="AE69" s="213"/>
      <c r="AF69" s="213"/>
      <c r="AG69" s="213"/>
      <c r="AH69" s="213"/>
      <c r="AI69" s="213"/>
      <c r="AJ69" s="213"/>
      <c r="AK69" s="213"/>
      <c r="AL69" s="213"/>
      <c r="AM69" s="213"/>
      <c r="AN69" s="213"/>
      <c r="AO69" s="213"/>
      <c r="AP69" s="213"/>
      <c r="AQ69" s="213"/>
      <c r="AR69" s="213"/>
      <c r="AS69" s="213"/>
      <c r="AT69" s="213"/>
    </row>
    <row r="70" spans="17:46">
      <c r="Q70" s="213"/>
      <c r="R70" s="213"/>
      <c r="S70" s="213"/>
      <c r="T70" s="213"/>
      <c r="U70" s="213"/>
      <c r="V70" s="213"/>
      <c r="W70" s="213"/>
      <c r="X70" s="213"/>
      <c r="Y70" s="213"/>
      <c r="Z70" s="213"/>
      <c r="AA70" s="213"/>
      <c r="AB70" s="213"/>
      <c r="AC70" s="213"/>
      <c r="AD70" s="213"/>
      <c r="AE70" s="213"/>
      <c r="AF70" s="213"/>
      <c r="AG70" s="213"/>
      <c r="AH70" s="213"/>
      <c r="AI70" s="213"/>
      <c r="AJ70" s="213"/>
      <c r="AK70" s="213"/>
      <c r="AL70" s="213"/>
      <c r="AM70" s="213"/>
      <c r="AN70" s="213"/>
      <c r="AO70" s="213"/>
      <c r="AP70" s="213"/>
      <c r="AQ70" s="213"/>
      <c r="AR70" s="213"/>
      <c r="AS70" s="213"/>
      <c r="AT70" s="213"/>
    </row>
  </sheetData>
  <mergeCells count="1">
    <mergeCell ref="C1:G1"/>
  </mergeCells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A11" workbookViewId="0">
      <selection activeCell="A39" sqref="A39:XFD39"/>
    </sheetView>
  </sheetViews>
  <sheetFormatPr baseColWidth="10" defaultRowHeight="15" x14ac:dyDescent="0"/>
  <cols>
    <col min="1" max="1" width="20.83203125" customWidth="1"/>
    <col min="2" max="2" width="4.5" customWidth="1"/>
    <col min="3" max="3" width="10.1640625" bestFit="1" customWidth="1"/>
    <col min="4" max="4" width="9.83203125" bestFit="1" customWidth="1"/>
    <col min="5" max="7" width="10.33203125" bestFit="1" customWidth="1"/>
  </cols>
  <sheetData>
    <row r="1" spans="1:11" ht="18">
      <c r="A1" s="165"/>
      <c r="B1" s="165"/>
      <c r="C1" s="244" t="s">
        <v>158</v>
      </c>
      <c r="D1" s="244"/>
      <c r="E1" s="244"/>
      <c r="F1" s="244"/>
      <c r="G1" s="244"/>
      <c r="H1" s="165"/>
      <c r="I1" s="165"/>
      <c r="J1" s="165"/>
      <c r="K1" s="165"/>
    </row>
    <row r="2" spans="1:1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30">
      <c r="A3" s="165"/>
      <c r="B3" s="166" t="s">
        <v>1</v>
      </c>
      <c r="C3" s="188" t="s">
        <v>2</v>
      </c>
      <c r="D3" s="189" t="s">
        <v>3</v>
      </c>
      <c r="E3" s="188" t="s">
        <v>4</v>
      </c>
      <c r="F3" s="189" t="s">
        <v>5</v>
      </c>
      <c r="G3" s="188" t="s">
        <v>6</v>
      </c>
      <c r="H3" s="165"/>
      <c r="I3" s="165"/>
      <c r="J3" s="165"/>
      <c r="K3" s="165"/>
    </row>
    <row r="4" spans="1:11">
      <c r="A4" s="167" t="s">
        <v>7</v>
      </c>
      <c r="B4" s="166"/>
      <c r="C4" s="178"/>
      <c r="D4" s="183"/>
      <c r="E4" s="178"/>
      <c r="F4" s="183"/>
      <c r="G4" s="178"/>
      <c r="H4" s="165"/>
      <c r="I4" s="165"/>
      <c r="J4" s="165"/>
      <c r="K4" s="165"/>
    </row>
    <row r="5" spans="1:11">
      <c r="A5" s="168" t="s">
        <v>159</v>
      </c>
      <c r="B5" s="169"/>
      <c r="C5" s="179">
        <v>0</v>
      </c>
      <c r="D5" s="184">
        <v>0</v>
      </c>
      <c r="E5" s="179">
        <v>0</v>
      </c>
      <c r="F5" s="184">
        <v>0</v>
      </c>
      <c r="G5" s="179">
        <v>10000</v>
      </c>
      <c r="H5" s="165"/>
      <c r="I5" s="165"/>
      <c r="J5" s="165"/>
      <c r="K5" s="165"/>
    </row>
    <row r="6" spans="1:11">
      <c r="A6" s="168" t="s">
        <v>160</v>
      </c>
      <c r="B6" s="169" t="s">
        <v>161</v>
      </c>
      <c r="C6" s="179">
        <v>0</v>
      </c>
      <c r="D6" s="184">
        <v>0</v>
      </c>
      <c r="E6" s="179">
        <v>0</v>
      </c>
      <c r="F6" s="184">
        <v>0</v>
      </c>
      <c r="G6" s="179">
        <v>9000</v>
      </c>
      <c r="H6" s="165"/>
      <c r="I6" s="165"/>
      <c r="J6" s="165"/>
      <c r="K6" s="165"/>
    </row>
    <row r="7" spans="1:11">
      <c r="A7" s="168" t="s">
        <v>162</v>
      </c>
      <c r="B7" s="169"/>
      <c r="C7" s="179">
        <v>0</v>
      </c>
      <c r="D7" s="184">
        <v>0</v>
      </c>
      <c r="E7" s="179">
        <v>30000</v>
      </c>
      <c r="F7" s="184">
        <v>26113</v>
      </c>
      <c r="G7" s="179">
        <v>35000</v>
      </c>
      <c r="H7" s="165"/>
      <c r="I7" s="165"/>
      <c r="J7" s="165"/>
      <c r="K7" s="165"/>
    </row>
    <row r="8" spans="1:11">
      <c r="A8" s="170" t="s">
        <v>180</v>
      </c>
      <c r="B8" s="169"/>
      <c r="C8" s="179">
        <v>60000</v>
      </c>
      <c r="D8" s="184">
        <v>15540</v>
      </c>
      <c r="E8" s="179">
        <v>115625</v>
      </c>
      <c r="F8" s="184">
        <f>SUM(20000+16000+12750+10000+5000+3000+1000)</f>
        <v>67750</v>
      </c>
      <c r="G8" s="179">
        <v>112000</v>
      </c>
      <c r="H8" s="165"/>
      <c r="I8" s="165"/>
      <c r="J8" s="165"/>
      <c r="K8" s="165"/>
    </row>
    <row r="9" spans="1:11">
      <c r="A9" s="168" t="s">
        <v>163</v>
      </c>
      <c r="B9" s="169"/>
      <c r="C9" s="179">
        <v>0</v>
      </c>
      <c r="D9" s="184">
        <v>16355</v>
      </c>
      <c r="E9" s="179">
        <v>3000</v>
      </c>
      <c r="F9" s="184">
        <v>0</v>
      </c>
      <c r="G9" s="179">
        <v>2156</v>
      </c>
      <c r="H9" s="165"/>
      <c r="I9" s="165"/>
      <c r="J9" s="165"/>
      <c r="K9" s="165"/>
    </row>
    <row r="10" spans="1:11">
      <c r="A10" s="168" t="s">
        <v>164</v>
      </c>
      <c r="B10" s="169"/>
      <c r="C10" s="179">
        <v>0</v>
      </c>
      <c r="D10" s="184">
        <v>0</v>
      </c>
      <c r="E10" s="179">
        <v>20000</v>
      </c>
      <c r="F10" s="184">
        <v>10000</v>
      </c>
      <c r="G10" s="179">
        <v>0</v>
      </c>
      <c r="H10" s="165"/>
      <c r="I10" s="165"/>
      <c r="J10" s="165"/>
      <c r="K10" s="165"/>
    </row>
    <row r="11" spans="1:11">
      <c r="A11" s="168" t="s">
        <v>165</v>
      </c>
      <c r="B11" s="169"/>
      <c r="C11" s="179">
        <v>0</v>
      </c>
      <c r="D11" s="184">
        <v>0</v>
      </c>
      <c r="E11" s="179">
        <v>6250</v>
      </c>
      <c r="F11" s="184">
        <v>3160</v>
      </c>
      <c r="G11" s="179">
        <v>0</v>
      </c>
      <c r="H11" s="165"/>
      <c r="I11" s="165"/>
      <c r="J11" s="165"/>
      <c r="K11" s="165"/>
    </row>
    <row r="12" spans="1:11">
      <c r="A12" s="168" t="s">
        <v>89</v>
      </c>
      <c r="B12" s="169"/>
      <c r="C12" s="179">
        <v>0</v>
      </c>
      <c r="D12" s="184">
        <v>2500</v>
      </c>
      <c r="E12" s="179">
        <v>0</v>
      </c>
      <c r="F12" s="184">
        <v>0</v>
      </c>
      <c r="G12" s="179">
        <v>0</v>
      </c>
      <c r="H12" s="165"/>
      <c r="I12" s="165"/>
      <c r="J12" s="165"/>
      <c r="K12" s="165"/>
    </row>
    <row r="13" spans="1:11">
      <c r="A13" s="170" t="s">
        <v>8</v>
      </c>
      <c r="B13" s="169"/>
      <c r="C13" s="179">
        <v>0</v>
      </c>
      <c r="D13" s="184">
        <v>0</v>
      </c>
      <c r="E13" s="179">
        <v>0</v>
      </c>
      <c r="F13" s="184">
        <v>24.79</v>
      </c>
      <c r="G13" s="179"/>
      <c r="H13" s="165"/>
      <c r="I13" s="165"/>
      <c r="J13" s="165"/>
      <c r="K13" s="165"/>
    </row>
    <row r="14" spans="1:11">
      <c r="A14" s="171" t="s">
        <v>14</v>
      </c>
      <c r="B14" s="190"/>
      <c r="C14" s="180">
        <f>SUM(C5:C13)</f>
        <v>60000</v>
      </c>
      <c r="D14" s="185">
        <f>SUM(D5:D13)</f>
        <v>34395</v>
      </c>
      <c r="E14" s="180">
        <f>SUM(E5:E13)</f>
        <v>174875</v>
      </c>
      <c r="F14" s="185">
        <f>SUM(F4:F13)</f>
        <v>107047.79</v>
      </c>
      <c r="G14" s="180">
        <f>SUM(G5:G13)</f>
        <v>168156</v>
      </c>
      <c r="H14" s="165"/>
      <c r="I14" s="165"/>
      <c r="J14" s="165"/>
      <c r="K14" s="165"/>
    </row>
    <row r="15" spans="1:11">
      <c r="A15" s="165"/>
      <c r="B15" s="169"/>
      <c r="C15" s="86"/>
      <c r="D15" s="86"/>
      <c r="E15" s="86"/>
      <c r="F15" s="86"/>
      <c r="G15" s="86"/>
      <c r="H15" s="165"/>
      <c r="I15" s="165"/>
      <c r="J15" s="165"/>
      <c r="K15" s="165"/>
    </row>
    <row r="16" spans="1:11">
      <c r="A16" s="172" t="s">
        <v>15</v>
      </c>
      <c r="B16" s="169"/>
      <c r="C16" s="181"/>
      <c r="D16" s="186"/>
      <c r="E16" s="181"/>
      <c r="F16" s="186"/>
      <c r="G16" s="181"/>
      <c r="H16" s="165"/>
      <c r="I16" s="165"/>
      <c r="J16" s="165"/>
      <c r="K16" s="165"/>
    </row>
    <row r="17" spans="1:11">
      <c r="A17" s="168"/>
      <c r="B17" s="169"/>
      <c r="C17" s="179"/>
      <c r="D17" s="184"/>
      <c r="E17" s="179"/>
      <c r="F17" s="184"/>
      <c r="G17" s="179"/>
      <c r="H17" s="165"/>
      <c r="I17" s="165"/>
      <c r="J17" s="165"/>
      <c r="K17" s="165"/>
    </row>
    <row r="18" spans="1:11">
      <c r="A18" s="168" t="s">
        <v>159</v>
      </c>
      <c r="B18" s="169"/>
      <c r="C18" s="179">
        <v>0</v>
      </c>
      <c r="D18" s="184">
        <v>0</v>
      </c>
      <c r="E18" s="179">
        <v>0</v>
      </c>
      <c r="F18" s="184">
        <v>0</v>
      </c>
      <c r="G18" s="179">
        <v>10000</v>
      </c>
      <c r="H18" s="165"/>
      <c r="I18" s="165"/>
      <c r="J18" s="165"/>
      <c r="K18" s="165"/>
    </row>
    <row r="19" spans="1:11">
      <c r="A19" s="168" t="s">
        <v>160</v>
      </c>
      <c r="B19" s="169" t="s">
        <v>161</v>
      </c>
      <c r="C19" s="179">
        <v>0</v>
      </c>
      <c r="D19" s="184">
        <v>0</v>
      </c>
      <c r="E19" s="179">
        <v>0</v>
      </c>
      <c r="F19" s="184">
        <v>0</v>
      </c>
      <c r="G19" s="179">
        <v>9000</v>
      </c>
      <c r="H19" s="165"/>
      <c r="I19" s="165"/>
      <c r="J19" s="165"/>
      <c r="K19" s="165"/>
    </row>
    <row r="20" spans="1:11">
      <c r="A20" s="168" t="s">
        <v>166</v>
      </c>
      <c r="B20" s="169"/>
      <c r="C20" s="179">
        <v>0</v>
      </c>
      <c r="D20" s="184">
        <v>0</v>
      </c>
      <c r="E20" s="179">
        <v>33000</v>
      </c>
      <c r="F20" s="184">
        <v>29331</v>
      </c>
      <c r="G20" s="179">
        <v>0</v>
      </c>
      <c r="H20" s="165"/>
      <c r="I20" s="165"/>
      <c r="J20" s="165"/>
      <c r="K20" s="165"/>
    </row>
    <row r="21" spans="1:11">
      <c r="A21" s="168" t="s">
        <v>182</v>
      </c>
      <c r="B21" s="169" t="s">
        <v>167</v>
      </c>
      <c r="C21" s="179">
        <v>38400</v>
      </c>
      <c r="D21" s="184">
        <v>37405.25</v>
      </c>
      <c r="E21" s="179">
        <f>125000+1200</f>
        <v>126200</v>
      </c>
      <c r="F21" s="184">
        <f>SUM(22400+22590+26775+28658)+1213</f>
        <v>101636</v>
      </c>
      <c r="G21" s="179">
        <f>108756</f>
        <v>108756</v>
      </c>
      <c r="H21" s="165"/>
      <c r="I21" s="165"/>
      <c r="J21" s="165"/>
      <c r="K21" s="165"/>
    </row>
    <row r="22" spans="1:11">
      <c r="A22" s="168" t="s">
        <v>162</v>
      </c>
      <c r="B22" s="169"/>
      <c r="C22" s="179">
        <v>0</v>
      </c>
      <c r="D22" s="184">
        <v>0</v>
      </c>
      <c r="E22" s="179">
        <v>30000</v>
      </c>
      <c r="F22" s="184">
        <v>34625</v>
      </c>
      <c r="G22" s="179">
        <v>35000</v>
      </c>
      <c r="H22" s="165"/>
      <c r="I22" s="165"/>
      <c r="J22" s="165"/>
      <c r="K22" s="165"/>
    </row>
    <row r="23" spans="1:11">
      <c r="A23" s="168" t="s">
        <v>168</v>
      </c>
      <c r="B23" s="169" t="s">
        <v>169</v>
      </c>
      <c r="C23" s="179">
        <v>8000</v>
      </c>
      <c r="D23" s="184">
        <v>0</v>
      </c>
      <c r="E23" s="179">
        <v>10000</v>
      </c>
      <c r="F23" s="184">
        <f>SUM(456+5123)</f>
        <v>5579</v>
      </c>
      <c r="G23" s="179">
        <v>6967</v>
      </c>
      <c r="H23" s="165"/>
      <c r="I23" s="165"/>
      <c r="J23" s="165"/>
      <c r="K23" s="165"/>
    </row>
    <row r="24" spans="1:11">
      <c r="A24" s="168" t="s">
        <v>34</v>
      </c>
      <c r="B24" s="169" t="s">
        <v>170</v>
      </c>
      <c r="C24" s="179">
        <v>2000</v>
      </c>
      <c r="D24" s="184">
        <v>265.5</v>
      </c>
      <c r="E24" s="179">
        <v>2000</v>
      </c>
      <c r="F24" s="184">
        <f>SUM(39.4+100+137.9+900)</f>
        <v>1177.3</v>
      </c>
      <c r="G24" s="179">
        <v>3000</v>
      </c>
      <c r="H24" s="165"/>
      <c r="I24" s="165"/>
      <c r="J24" s="165"/>
      <c r="K24" s="165"/>
    </row>
    <row r="25" spans="1:11">
      <c r="A25" s="168" t="s">
        <v>19</v>
      </c>
      <c r="B25" s="169" t="s">
        <v>171</v>
      </c>
      <c r="C25" s="179">
        <v>0</v>
      </c>
      <c r="D25" s="184">
        <v>3191.98</v>
      </c>
      <c r="E25" s="179">
        <v>2000</v>
      </c>
      <c r="F25" s="184">
        <f>SUM(202+2644)</f>
        <v>2846</v>
      </c>
      <c r="G25" s="179">
        <v>2000</v>
      </c>
      <c r="H25" s="165"/>
      <c r="I25" s="165"/>
      <c r="J25" s="165"/>
      <c r="K25" s="165"/>
    </row>
    <row r="26" spans="1:11">
      <c r="A26" s="168" t="s">
        <v>172</v>
      </c>
      <c r="B26" s="169"/>
      <c r="C26" s="179">
        <v>3000</v>
      </c>
      <c r="D26" s="184">
        <v>0</v>
      </c>
      <c r="E26" s="179">
        <v>1000</v>
      </c>
      <c r="F26" s="184">
        <v>0</v>
      </c>
      <c r="G26" s="179">
        <v>0</v>
      </c>
      <c r="H26" s="165"/>
      <c r="I26" s="165"/>
      <c r="J26" s="165"/>
      <c r="K26" s="165"/>
    </row>
    <row r="27" spans="1:11">
      <c r="A27" s="168" t="s">
        <v>173</v>
      </c>
      <c r="B27" s="169"/>
      <c r="C27" s="179">
        <v>0</v>
      </c>
      <c r="D27" s="184">
        <v>5902</v>
      </c>
      <c r="E27" s="179">
        <v>0</v>
      </c>
      <c r="F27" s="184">
        <v>0</v>
      </c>
      <c r="G27" s="179">
        <v>0</v>
      </c>
      <c r="H27" s="165"/>
      <c r="I27" s="165"/>
      <c r="J27" s="165"/>
      <c r="K27" s="165"/>
    </row>
    <row r="28" spans="1:11">
      <c r="A28" s="168" t="s">
        <v>174</v>
      </c>
      <c r="B28" s="173"/>
      <c r="C28" s="182">
        <v>0</v>
      </c>
      <c r="D28" s="187">
        <v>5812.5</v>
      </c>
      <c r="E28" s="182">
        <v>0</v>
      </c>
      <c r="F28" s="187">
        <v>0</v>
      </c>
      <c r="G28" s="182">
        <v>0</v>
      </c>
      <c r="H28" s="165"/>
      <c r="I28" s="165"/>
      <c r="J28" s="165"/>
      <c r="K28" s="165"/>
    </row>
    <row r="29" spans="1:11">
      <c r="A29" s="171" t="s">
        <v>14</v>
      </c>
      <c r="B29" s="175"/>
      <c r="C29" s="180">
        <f>SUM(C17:C28)</f>
        <v>51400</v>
      </c>
      <c r="D29" s="185">
        <f>SUM(D17:D28)</f>
        <v>52577.23</v>
      </c>
      <c r="E29" s="180">
        <f>SUM(E17:E28)</f>
        <v>204200</v>
      </c>
      <c r="F29" s="185">
        <f>SUM(F16:F28)</f>
        <v>175194.3</v>
      </c>
      <c r="G29" s="180">
        <f>SUM(G18:G28)</f>
        <v>174723</v>
      </c>
      <c r="H29" s="165"/>
      <c r="I29" s="165"/>
      <c r="J29" s="165"/>
      <c r="K29" s="165"/>
    </row>
    <row r="30" spans="1:11">
      <c r="A30" s="165"/>
      <c r="B30" s="173"/>
      <c r="C30" s="86"/>
      <c r="D30" s="86"/>
      <c r="E30" s="86"/>
      <c r="F30" s="86"/>
      <c r="G30" s="86"/>
      <c r="H30" s="165"/>
      <c r="I30" s="165"/>
      <c r="J30" s="165"/>
      <c r="K30" s="165"/>
    </row>
    <row r="31" spans="1:11">
      <c r="A31" s="171" t="s">
        <v>42</v>
      </c>
      <c r="B31" s="175"/>
      <c r="C31" s="180">
        <f>SUM(C14-C29)</f>
        <v>8600</v>
      </c>
      <c r="D31" s="185">
        <f>SUM(D14-D29)</f>
        <v>-18182.230000000003</v>
      </c>
      <c r="E31" s="180">
        <f>SUM(E14-E29)</f>
        <v>-29325</v>
      </c>
      <c r="F31" s="185">
        <f>SUM(F14-F29)</f>
        <v>-68146.509999999995</v>
      </c>
      <c r="G31" s="180">
        <f>SUM(G14-G29)</f>
        <v>-6567</v>
      </c>
      <c r="H31" s="165"/>
      <c r="I31" s="165"/>
      <c r="J31" s="165"/>
      <c r="K31" s="165"/>
    </row>
    <row r="32" spans="1:11">
      <c r="A32" s="165"/>
      <c r="B32" s="165"/>
      <c r="C32" s="165"/>
      <c r="D32" s="165"/>
      <c r="E32" s="165"/>
      <c r="F32" s="165"/>
      <c r="G32" s="165"/>
      <c r="H32" s="165"/>
      <c r="I32" s="165"/>
      <c r="J32" s="165"/>
      <c r="K32" s="165"/>
    </row>
    <row r="33" spans="1:11">
      <c r="A33" s="177" t="s">
        <v>43</v>
      </c>
      <c r="B33" s="165" t="s">
        <v>181</v>
      </c>
      <c r="C33" s="165"/>
      <c r="D33" s="165"/>
      <c r="E33" s="165"/>
      <c r="F33" s="165"/>
      <c r="G33" s="165"/>
      <c r="H33" s="165"/>
      <c r="I33" s="165"/>
      <c r="J33" s="165"/>
      <c r="K33" s="165"/>
    </row>
    <row r="34" spans="1:11" ht="45" customHeight="1">
      <c r="A34" s="174"/>
      <c r="B34" s="245" t="s">
        <v>175</v>
      </c>
      <c r="C34" s="245"/>
      <c r="D34" s="245"/>
      <c r="E34" s="245"/>
      <c r="F34" s="245"/>
      <c r="G34" s="245"/>
      <c r="H34" s="165"/>
      <c r="I34" s="165"/>
      <c r="J34" s="165"/>
      <c r="K34" s="165"/>
    </row>
    <row r="35" spans="1:11">
      <c r="A35" s="172" t="s">
        <v>44</v>
      </c>
      <c r="B35" s="165" t="s">
        <v>176</v>
      </c>
      <c r="C35" s="165"/>
      <c r="D35" s="165"/>
      <c r="E35" s="165"/>
      <c r="F35" s="165"/>
      <c r="G35" s="165"/>
      <c r="H35" s="165"/>
      <c r="I35" s="165"/>
      <c r="J35" s="165"/>
      <c r="K35" s="176"/>
    </row>
    <row r="36" spans="1:11">
      <c r="A36" s="177" t="s">
        <v>45</v>
      </c>
      <c r="B36" s="165" t="s">
        <v>177</v>
      </c>
      <c r="C36" s="165"/>
      <c r="D36" s="165"/>
      <c r="E36" s="165"/>
      <c r="F36" s="165"/>
      <c r="G36" s="165"/>
      <c r="H36" s="165"/>
      <c r="I36" s="165"/>
      <c r="J36" s="165"/>
      <c r="K36" s="165"/>
    </row>
    <row r="37" spans="1:11" ht="31" customHeight="1">
      <c r="A37" s="177" t="s">
        <v>46</v>
      </c>
      <c r="B37" s="245" t="s">
        <v>183</v>
      </c>
      <c r="C37" s="245"/>
      <c r="D37" s="245"/>
      <c r="E37" s="245"/>
      <c r="F37" s="245"/>
      <c r="G37" s="245"/>
      <c r="H37" s="165"/>
      <c r="I37" s="165"/>
      <c r="J37" s="165"/>
      <c r="K37" s="165"/>
    </row>
    <row r="38" spans="1:11">
      <c r="A38" s="177" t="s">
        <v>47</v>
      </c>
      <c r="B38" s="165" t="s">
        <v>178</v>
      </c>
      <c r="C38" s="165"/>
      <c r="D38" s="165"/>
      <c r="E38" s="165"/>
      <c r="F38" s="165"/>
      <c r="G38" s="165"/>
      <c r="H38" s="165"/>
      <c r="I38" s="165"/>
      <c r="J38" s="165"/>
      <c r="K38" s="165"/>
    </row>
    <row r="39" spans="1:11">
      <c r="A39" s="177" t="s">
        <v>48</v>
      </c>
      <c r="B39" s="165" t="s">
        <v>179</v>
      </c>
      <c r="C39" s="165"/>
      <c r="D39" s="165"/>
      <c r="E39" s="165"/>
      <c r="F39" s="165"/>
      <c r="G39" s="165"/>
      <c r="H39" s="165"/>
      <c r="I39" s="165"/>
      <c r="J39" s="165"/>
      <c r="K39" s="165"/>
    </row>
    <row r="40" spans="1:11">
      <c r="A40" s="165"/>
      <c r="B40" s="165"/>
      <c r="C40" s="165"/>
      <c r="D40" s="165"/>
      <c r="E40" s="165"/>
      <c r="F40" s="165"/>
      <c r="G40" s="165"/>
      <c r="H40" s="165"/>
      <c r="I40" s="165"/>
      <c r="J40" s="165"/>
      <c r="K40" s="165"/>
    </row>
    <row r="41" spans="1:11">
      <c r="H41" s="165"/>
      <c r="I41" s="165"/>
      <c r="J41" s="165"/>
      <c r="K41" s="165"/>
    </row>
    <row r="42" spans="1:11">
      <c r="H42" s="165"/>
      <c r="I42" s="165"/>
      <c r="J42" s="165"/>
      <c r="K42" s="165"/>
    </row>
    <row r="43" spans="1:11">
      <c r="H43" s="165"/>
      <c r="I43" s="165"/>
      <c r="J43" s="165"/>
      <c r="K43" s="165"/>
    </row>
    <row r="44" spans="1:11">
      <c r="H44" s="165"/>
      <c r="I44" s="165"/>
      <c r="J44" s="165"/>
      <c r="K44" s="165"/>
    </row>
    <row r="45" spans="1:11">
      <c r="H45" s="165"/>
      <c r="I45" s="165"/>
      <c r="J45" s="165"/>
      <c r="K45" s="165"/>
    </row>
  </sheetData>
  <mergeCells count="3">
    <mergeCell ref="C1:G1"/>
    <mergeCell ref="B34:G34"/>
    <mergeCell ref="B37:G37"/>
  </mergeCells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F15" sqref="F15"/>
    </sheetView>
  </sheetViews>
  <sheetFormatPr baseColWidth="10" defaultRowHeight="15" x14ac:dyDescent="0"/>
  <cols>
    <col min="1" max="1" width="28.6640625" bestFit="1" customWidth="1"/>
    <col min="2" max="2" width="9.5" bestFit="1" customWidth="1"/>
    <col min="3" max="3" width="9.1640625" bestFit="1" customWidth="1"/>
    <col min="4" max="6" width="9.5" bestFit="1" customWidth="1"/>
  </cols>
  <sheetData>
    <row r="1" spans="1:6" ht="17">
      <c r="A1" s="246" t="s">
        <v>144</v>
      </c>
      <c r="B1" s="246"/>
      <c r="C1" s="112"/>
      <c r="D1" s="112"/>
      <c r="E1" s="112"/>
      <c r="F1" s="112"/>
    </row>
    <row r="2" spans="1:6">
      <c r="A2" s="112"/>
      <c r="B2" s="112"/>
      <c r="C2" s="112"/>
      <c r="D2" s="112"/>
      <c r="E2" s="112"/>
      <c r="F2" s="112"/>
    </row>
    <row r="3" spans="1:6" ht="30">
      <c r="A3" s="112"/>
      <c r="B3" s="224" t="s">
        <v>62</v>
      </c>
      <c r="C3" s="225" t="s">
        <v>98</v>
      </c>
      <c r="D3" s="224" t="s">
        <v>49</v>
      </c>
      <c r="E3" s="225" t="s">
        <v>99</v>
      </c>
      <c r="F3" s="226" t="s">
        <v>51</v>
      </c>
    </row>
    <row r="4" spans="1:6">
      <c r="A4" s="39" t="s">
        <v>7</v>
      </c>
      <c r="B4" s="160"/>
      <c r="C4" s="161"/>
      <c r="D4" s="160"/>
      <c r="E4" s="161"/>
      <c r="F4" s="159"/>
    </row>
    <row r="5" spans="1:6">
      <c r="A5" s="112" t="s">
        <v>89</v>
      </c>
      <c r="B5" s="192">
        <v>0</v>
      </c>
      <c r="C5" s="193">
        <v>0</v>
      </c>
      <c r="D5" s="192">
        <v>0</v>
      </c>
      <c r="E5" s="193">
        <v>76.53</v>
      </c>
      <c r="F5" s="194">
        <v>0</v>
      </c>
    </row>
    <row r="6" spans="1:6">
      <c r="A6" s="112" t="s">
        <v>145</v>
      </c>
      <c r="B6" s="192">
        <v>0</v>
      </c>
      <c r="C6" s="193">
        <v>4486.5</v>
      </c>
      <c r="D6" s="192">
        <v>5000</v>
      </c>
      <c r="E6" s="193">
        <v>0</v>
      </c>
      <c r="F6" s="194">
        <v>10000</v>
      </c>
    </row>
    <row r="7" spans="1:6">
      <c r="A7" s="112" t="s">
        <v>8</v>
      </c>
      <c r="B7" s="192">
        <v>0</v>
      </c>
      <c r="C7" s="193">
        <v>3.85</v>
      </c>
      <c r="D7" s="192">
        <v>0</v>
      </c>
      <c r="E7" s="193">
        <v>5.05</v>
      </c>
      <c r="F7" s="194">
        <v>0</v>
      </c>
    </row>
    <row r="8" spans="1:6">
      <c r="A8" s="162" t="s">
        <v>14</v>
      </c>
      <c r="B8" s="195">
        <v>0</v>
      </c>
      <c r="C8" s="196">
        <v>4490.3500000000004</v>
      </c>
      <c r="D8" s="195">
        <v>5000</v>
      </c>
      <c r="E8" s="196">
        <v>81.58</v>
      </c>
      <c r="F8" s="197">
        <f>SUM(F5:F7)</f>
        <v>10000</v>
      </c>
    </row>
    <row r="9" spans="1:6">
      <c r="A9" s="163"/>
      <c r="B9" s="198"/>
      <c r="C9" s="199"/>
      <c r="D9" s="198"/>
      <c r="E9" s="199"/>
      <c r="F9" s="200"/>
    </row>
    <row r="10" spans="1:6">
      <c r="A10" s="39" t="s">
        <v>15</v>
      </c>
      <c r="B10" s="201"/>
      <c r="C10" s="202"/>
      <c r="D10" s="201"/>
      <c r="E10" s="202"/>
      <c r="F10" s="203"/>
    </row>
    <row r="11" spans="1:6">
      <c r="A11" s="112" t="s">
        <v>146</v>
      </c>
      <c r="B11" s="192">
        <v>1000</v>
      </c>
      <c r="C11" s="193">
        <v>28</v>
      </c>
      <c r="D11" s="192">
        <v>0</v>
      </c>
      <c r="E11" s="193">
        <v>1301.1199999999999</v>
      </c>
      <c r="F11" s="194">
        <v>1500</v>
      </c>
    </row>
    <row r="12" spans="1:6">
      <c r="A12" s="112" t="s">
        <v>19</v>
      </c>
      <c r="B12" s="192">
        <v>0</v>
      </c>
      <c r="C12" s="193">
        <v>0</v>
      </c>
      <c r="D12" s="192">
        <v>2000</v>
      </c>
      <c r="E12" s="193">
        <v>0</v>
      </c>
      <c r="F12" s="194">
        <v>3000</v>
      </c>
    </row>
    <row r="13" spans="1:6">
      <c r="A13" s="112" t="s">
        <v>147</v>
      </c>
      <c r="B13" s="192">
        <v>0</v>
      </c>
      <c r="C13" s="193">
        <v>0</v>
      </c>
      <c r="D13" s="192">
        <v>0</v>
      </c>
      <c r="E13" s="193">
        <v>575.1</v>
      </c>
      <c r="F13" s="194">
        <v>3000</v>
      </c>
    </row>
    <row r="14" spans="1:6">
      <c r="A14" s="112" t="s">
        <v>148</v>
      </c>
      <c r="B14" s="192">
        <v>1000</v>
      </c>
      <c r="C14" s="193">
        <v>0</v>
      </c>
      <c r="D14" s="192">
        <v>0</v>
      </c>
      <c r="E14" s="193">
        <v>1011.58</v>
      </c>
      <c r="F14" s="194">
        <v>1500</v>
      </c>
    </row>
    <row r="15" spans="1:6">
      <c r="A15" s="112" t="s">
        <v>149</v>
      </c>
      <c r="B15" s="192">
        <v>5000</v>
      </c>
      <c r="C15" s="193">
        <v>2330.1999999999998</v>
      </c>
      <c r="D15" s="192">
        <v>10000</v>
      </c>
      <c r="E15" s="193">
        <v>10102.299999999999</v>
      </c>
      <c r="F15" s="194">
        <v>18000</v>
      </c>
    </row>
    <row r="16" spans="1:6">
      <c r="A16" s="112" t="s">
        <v>150</v>
      </c>
      <c r="B16" s="192">
        <v>0</v>
      </c>
      <c r="C16" s="193">
        <v>7867.99</v>
      </c>
      <c r="D16" s="192">
        <v>10000</v>
      </c>
      <c r="E16" s="193">
        <v>4266</v>
      </c>
      <c r="F16" s="194">
        <v>10000</v>
      </c>
    </row>
    <row r="17" spans="1:6">
      <c r="A17" s="112" t="s">
        <v>80</v>
      </c>
      <c r="B17" s="192">
        <v>0</v>
      </c>
      <c r="C17" s="193">
        <v>0</v>
      </c>
      <c r="D17" s="192">
        <v>0</v>
      </c>
      <c r="E17" s="193">
        <v>0</v>
      </c>
      <c r="F17" s="194">
        <v>0</v>
      </c>
    </row>
    <row r="18" spans="1:6">
      <c r="A18" s="112" t="s">
        <v>64</v>
      </c>
      <c r="B18" s="192">
        <v>0</v>
      </c>
      <c r="C18" s="193">
        <v>0</v>
      </c>
      <c r="D18" s="192">
        <v>10000</v>
      </c>
      <c r="E18" s="193">
        <v>0</v>
      </c>
      <c r="F18" s="194">
        <v>0</v>
      </c>
    </row>
    <row r="19" spans="1:6">
      <c r="A19" s="112" t="s">
        <v>34</v>
      </c>
      <c r="B19" s="192">
        <v>0</v>
      </c>
      <c r="C19" s="193">
        <v>0</v>
      </c>
      <c r="D19" s="192">
        <v>0</v>
      </c>
      <c r="E19" s="193">
        <v>505</v>
      </c>
      <c r="F19" s="194">
        <v>1600</v>
      </c>
    </row>
    <row r="20" spans="1:6">
      <c r="A20" s="112" t="s">
        <v>35</v>
      </c>
      <c r="B20" s="192">
        <v>0</v>
      </c>
      <c r="C20" s="193">
        <v>0</v>
      </c>
      <c r="D20" s="192">
        <v>0</v>
      </c>
      <c r="E20" s="193">
        <v>0</v>
      </c>
      <c r="F20" s="194">
        <v>0</v>
      </c>
    </row>
    <row r="21" spans="1:6">
      <c r="A21" s="112" t="s">
        <v>151</v>
      </c>
      <c r="B21" s="192">
        <v>3000</v>
      </c>
      <c r="C21" s="193">
        <v>2579.9</v>
      </c>
      <c r="D21" s="192">
        <v>0</v>
      </c>
      <c r="E21" s="193">
        <v>1087</v>
      </c>
      <c r="F21" s="194">
        <v>7000</v>
      </c>
    </row>
    <row r="22" spans="1:6">
      <c r="A22" s="112" t="s">
        <v>152</v>
      </c>
      <c r="B22" s="192">
        <v>0</v>
      </c>
      <c r="C22" s="193">
        <v>452.99</v>
      </c>
      <c r="D22" s="192">
        <v>3000</v>
      </c>
      <c r="E22" s="193">
        <v>2632.68</v>
      </c>
      <c r="F22" s="194">
        <v>8000</v>
      </c>
    </row>
    <row r="23" spans="1:6">
      <c r="A23" s="162" t="s">
        <v>14</v>
      </c>
      <c r="B23" s="195">
        <v>10000</v>
      </c>
      <c r="C23" s="196">
        <v>13259.08</v>
      </c>
      <c r="D23" s="195">
        <v>35000</v>
      </c>
      <c r="E23" s="196">
        <f>SUM(E11:E22)</f>
        <v>21480.78</v>
      </c>
      <c r="F23" s="197">
        <f>SUM(F11:F22)</f>
        <v>53600</v>
      </c>
    </row>
    <row r="24" spans="1:6">
      <c r="A24" s="112"/>
      <c r="B24" s="201"/>
      <c r="C24" s="202"/>
      <c r="D24" s="201"/>
      <c r="E24" s="202"/>
      <c r="F24" s="203"/>
    </row>
    <row r="25" spans="1:6">
      <c r="A25" s="162" t="s">
        <v>42</v>
      </c>
      <c r="B25" s="195">
        <v>-10000</v>
      </c>
      <c r="C25" s="196">
        <v>-8768.73</v>
      </c>
      <c r="D25" s="195">
        <v>-30000</v>
      </c>
      <c r="E25" s="196">
        <f>E8-E23</f>
        <v>-21399.199999999997</v>
      </c>
      <c r="F25" s="197">
        <f>F8-F23</f>
        <v>-43600</v>
      </c>
    </row>
  </sheetData>
  <mergeCells count="1">
    <mergeCell ref="A1:B1"/>
  </mergeCells>
  <phoneticPr fontId="43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B1" sqref="B1"/>
    </sheetView>
  </sheetViews>
  <sheetFormatPr baseColWidth="10" defaultRowHeight="15" x14ac:dyDescent="0"/>
  <cols>
    <col min="1" max="1" width="28.6640625" bestFit="1" customWidth="1"/>
    <col min="2" max="2" width="9.1640625" customWidth="1"/>
    <col min="3" max="3" width="9" customWidth="1"/>
    <col min="4" max="4" width="8.6640625" customWidth="1"/>
    <col min="5" max="5" width="9" customWidth="1"/>
    <col min="6" max="6" width="8.83203125" customWidth="1"/>
  </cols>
  <sheetData>
    <row r="1" spans="1:6" ht="18">
      <c r="B1" s="150" t="s">
        <v>154</v>
      </c>
    </row>
    <row r="3" spans="1:6" ht="30">
      <c r="A3" s="113"/>
      <c r="B3" s="132" t="s">
        <v>117</v>
      </c>
      <c r="C3" s="131" t="s">
        <v>98</v>
      </c>
      <c r="D3" s="132" t="s">
        <v>118</v>
      </c>
      <c r="E3" s="131" t="s">
        <v>99</v>
      </c>
      <c r="F3" s="132" t="s">
        <v>119</v>
      </c>
    </row>
    <row r="4" spans="1:6">
      <c r="A4" s="114" t="s">
        <v>7</v>
      </c>
      <c r="B4" s="133"/>
      <c r="C4" s="130"/>
      <c r="D4" s="129"/>
      <c r="E4" s="130"/>
      <c r="F4" s="133"/>
    </row>
    <row r="5" spans="1:6">
      <c r="A5" s="113" t="s">
        <v>120</v>
      </c>
      <c r="B5" s="136">
        <v>0</v>
      </c>
      <c r="C5" s="137">
        <v>18500</v>
      </c>
      <c r="D5" s="136">
        <v>18000</v>
      </c>
      <c r="E5" s="137">
        <v>18100</v>
      </c>
      <c r="F5" s="136">
        <v>18000</v>
      </c>
    </row>
    <row r="6" spans="1:6">
      <c r="A6" s="113" t="s">
        <v>121</v>
      </c>
      <c r="B6" s="136">
        <v>40000</v>
      </c>
      <c r="C6" s="137">
        <v>15000</v>
      </c>
      <c r="D6" s="136">
        <v>30000</v>
      </c>
      <c r="E6" s="137">
        <v>15000</v>
      </c>
      <c r="F6" s="136">
        <v>52500</v>
      </c>
    </row>
    <row r="7" spans="1:6">
      <c r="A7" s="113" t="s">
        <v>122</v>
      </c>
      <c r="B7" s="136">
        <v>0</v>
      </c>
      <c r="C7" s="137">
        <v>15540</v>
      </c>
      <c r="D7" s="136">
        <v>0</v>
      </c>
      <c r="E7" s="137">
        <v>0</v>
      </c>
      <c r="F7" s="136">
        <v>0</v>
      </c>
    </row>
    <row r="8" spans="1:6">
      <c r="A8" s="113" t="s">
        <v>104</v>
      </c>
      <c r="B8" s="136">
        <v>0</v>
      </c>
      <c r="C8" s="137">
        <v>0</v>
      </c>
      <c r="D8" s="136">
        <v>0</v>
      </c>
      <c r="E8" s="137">
        <v>5.66</v>
      </c>
      <c r="F8" s="136">
        <v>0</v>
      </c>
    </row>
    <row r="9" spans="1:6">
      <c r="A9" s="147" t="s">
        <v>14</v>
      </c>
      <c r="B9" s="140">
        <v>40000</v>
      </c>
      <c r="C9" s="141">
        <v>49040</v>
      </c>
      <c r="D9" s="140">
        <v>48000</v>
      </c>
      <c r="E9" s="141">
        <v>33105.660000000003</v>
      </c>
      <c r="F9" s="140">
        <f>SUM(F5:F8)</f>
        <v>70500</v>
      </c>
    </row>
    <row r="10" spans="1:6">
      <c r="A10" s="113"/>
      <c r="B10" s="144"/>
      <c r="C10" s="145"/>
      <c r="D10" s="144"/>
      <c r="E10" s="145"/>
      <c r="F10" s="144"/>
    </row>
    <row r="11" spans="1:6">
      <c r="A11" s="114" t="s">
        <v>15</v>
      </c>
      <c r="B11" s="144"/>
      <c r="C11" s="145"/>
      <c r="D11" s="144"/>
      <c r="E11" s="145"/>
      <c r="F11" s="144"/>
    </row>
    <row r="12" spans="1:6">
      <c r="A12" s="113" t="s">
        <v>100</v>
      </c>
      <c r="B12" s="136">
        <v>0</v>
      </c>
      <c r="C12" s="137">
        <v>0</v>
      </c>
      <c r="D12" s="136">
        <v>0</v>
      </c>
      <c r="E12" s="137">
        <v>0</v>
      </c>
      <c r="F12" s="136">
        <v>7500</v>
      </c>
    </row>
    <row r="13" spans="1:6">
      <c r="A13" s="113" t="s">
        <v>107</v>
      </c>
      <c r="B13" s="136">
        <v>0</v>
      </c>
      <c r="C13" s="137">
        <v>0</v>
      </c>
      <c r="D13" s="136">
        <v>0</v>
      </c>
      <c r="E13" s="137">
        <v>3689.54</v>
      </c>
      <c r="F13" s="136">
        <v>3000</v>
      </c>
    </row>
    <row r="14" spans="1:6">
      <c r="A14" s="113" t="s">
        <v>108</v>
      </c>
      <c r="B14" s="136">
        <v>1850</v>
      </c>
      <c r="C14" s="137">
        <v>0</v>
      </c>
      <c r="D14" s="136">
        <v>1000</v>
      </c>
      <c r="E14" s="137">
        <v>0</v>
      </c>
      <c r="F14" s="136">
        <v>4000</v>
      </c>
    </row>
    <row r="15" spans="1:6">
      <c r="A15" s="113" t="s">
        <v>123</v>
      </c>
      <c r="B15" s="136">
        <v>0</v>
      </c>
      <c r="C15" s="137">
        <v>0</v>
      </c>
      <c r="D15" s="136">
        <v>0</v>
      </c>
      <c r="E15" s="137">
        <v>0</v>
      </c>
      <c r="F15" s="136">
        <v>2000</v>
      </c>
    </row>
    <row r="16" spans="1:6">
      <c r="A16" s="113" t="s">
        <v>110</v>
      </c>
      <c r="B16" s="136">
        <v>16000</v>
      </c>
      <c r="C16" s="137">
        <v>10469</v>
      </c>
      <c r="D16" s="136">
        <v>16000</v>
      </c>
      <c r="E16" s="137">
        <v>17631.25</v>
      </c>
      <c r="F16" s="136">
        <v>21100</v>
      </c>
    </row>
    <row r="17" spans="1:6">
      <c r="A17" s="113" t="s">
        <v>111</v>
      </c>
      <c r="B17" s="136">
        <v>1000</v>
      </c>
      <c r="C17" s="137">
        <v>134</v>
      </c>
      <c r="D17" s="136">
        <v>0</v>
      </c>
      <c r="E17" s="137">
        <v>1344.1</v>
      </c>
      <c r="F17" s="136">
        <v>900</v>
      </c>
    </row>
    <row r="18" spans="1:6">
      <c r="A18" s="113" t="s">
        <v>124</v>
      </c>
      <c r="B18" s="136">
        <v>15500</v>
      </c>
      <c r="C18" s="137">
        <v>1850</v>
      </c>
      <c r="D18" s="136">
        <v>8500</v>
      </c>
      <c r="E18" s="137">
        <v>4146.2</v>
      </c>
      <c r="F18" s="136">
        <v>6500</v>
      </c>
    </row>
    <row r="19" spans="1:6">
      <c r="A19" s="113" t="s">
        <v>125</v>
      </c>
      <c r="B19" s="136">
        <v>0</v>
      </c>
      <c r="C19" s="137">
        <v>0</v>
      </c>
      <c r="D19" s="136">
        <v>10000</v>
      </c>
      <c r="E19" s="137">
        <v>0</v>
      </c>
      <c r="F19" s="136">
        <v>10000</v>
      </c>
    </row>
    <row r="20" spans="1:6">
      <c r="A20" s="113" t="s">
        <v>112</v>
      </c>
      <c r="B20" s="136">
        <v>0</v>
      </c>
      <c r="C20" s="137">
        <v>23048.3</v>
      </c>
      <c r="D20" s="136">
        <v>9000</v>
      </c>
      <c r="E20" s="137">
        <v>5617.96</v>
      </c>
      <c r="F20" s="136">
        <v>7000</v>
      </c>
    </row>
    <row r="21" spans="1:6">
      <c r="A21" s="113" t="s">
        <v>113</v>
      </c>
      <c r="B21" s="136">
        <v>0</v>
      </c>
      <c r="C21" s="137">
        <v>1400</v>
      </c>
      <c r="D21" s="136">
        <v>1500</v>
      </c>
      <c r="E21" s="137">
        <v>0</v>
      </c>
      <c r="F21" s="136">
        <v>1500</v>
      </c>
    </row>
    <row r="22" spans="1:6">
      <c r="A22" s="113" t="s">
        <v>114</v>
      </c>
      <c r="B22" s="136">
        <v>0</v>
      </c>
      <c r="C22" s="137">
        <v>0</v>
      </c>
      <c r="D22" s="136">
        <v>2000</v>
      </c>
      <c r="E22" s="137">
        <v>0</v>
      </c>
      <c r="F22" s="136">
        <v>2000</v>
      </c>
    </row>
    <row r="23" spans="1:6">
      <c r="A23" s="113" t="s">
        <v>126</v>
      </c>
      <c r="B23" s="136">
        <v>0</v>
      </c>
      <c r="C23" s="137">
        <v>0</v>
      </c>
      <c r="D23" s="136">
        <v>0</v>
      </c>
      <c r="E23" s="137">
        <v>0</v>
      </c>
      <c r="F23" s="136">
        <v>5000</v>
      </c>
    </row>
    <row r="24" spans="1:6">
      <c r="A24" s="113" t="s">
        <v>127</v>
      </c>
      <c r="B24" s="136">
        <v>4000</v>
      </c>
      <c r="C24" s="137">
        <v>0</v>
      </c>
      <c r="D24" s="136">
        <v>0</v>
      </c>
      <c r="E24" s="137">
        <v>0</v>
      </c>
      <c r="F24" s="136">
        <v>0</v>
      </c>
    </row>
    <row r="25" spans="1:6">
      <c r="A25" s="120" t="s">
        <v>14</v>
      </c>
      <c r="B25" s="140">
        <v>38350</v>
      </c>
      <c r="C25" s="141">
        <v>36901.300000000003</v>
      </c>
      <c r="D25" s="140">
        <v>48000</v>
      </c>
      <c r="E25" s="141">
        <v>32429.05</v>
      </c>
      <c r="F25" s="140">
        <f>SUM(F12:F24)</f>
        <v>70500</v>
      </c>
    </row>
    <row r="26" spans="1:6">
      <c r="A26" s="114"/>
      <c r="B26" s="144"/>
      <c r="C26" s="145"/>
      <c r="D26" s="144"/>
      <c r="E26" s="145"/>
      <c r="F26" s="144"/>
    </row>
    <row r="27" spans="1:6">
      <c r="A27" s="123" t="s">
        <v>42</v>
      </c>
      <c r="B27" s="140">
        <v>1650</v>
      </c>
      <c r="C27" s="141">
        <v>12138.7</v>
      </c>
      <c r="D27" s="140">
        <v>0</v>
      </c>
      <c r="E27" s="141">
        <v>676.61</v>
      </c>
      <c r="F27" s="140">
        <f>F9-F25</f>
        <v>0</v>
      </c>
    </row>
  </sheetData>
  <phoneticPr fontId="43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ArrKom</vt:lpstr>
      <vt:lpstr>BanKom</vt:lpstr>
      <vt:lpstr>BedKom</vt:lpstr>
      <vt:lpstr>DotKom</vt:lpstr>
      <vt:lpstr>FagKom</vt:lpstr>
      <vt:lpstr>HS</vt:lpstr>
      <vt:lpstr>ProKom</vt:lpstr>
      <vt:lpstr>TriKom</vt:lpstr>
      <vt:lpstr>VelKom</vt:lpstr>
      <vt:lpstr>Total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</dc:creator>
  <cp:lastModifiedBy>Marius</cp:lastModifiedBy>
  <cp:lastPrinted>2013-04-29T14:09:01Z</cp:lastPrinted>
  <dcterms:created xsi:type="dcterms:W3CDTF">2013-04-22T16:57:03Z</dcterms:created>
  <dcterms:modified xsi:type="dcterms:W3CDTF">2013-04-29T14:10:17Z</dcterms:modified>
</cp:coreProperties>
</file>